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hidePivotFieldList="1"/>
  <mc:AlternateContent xmlns:mc="http://schemas.openxmlformats.org/markup-compatibility/2006">
    <mc:Choice Requires="x15">
      <x15ac:absPath xmlns:x15ac="http://schemas.microsoft.com/office/spreadsheetml/2010/11/ac" url="https://maynoothuniversity-my.sharepoint.com/personal/patricia_hayden_mu_ie/Documents/Desktop/Fed Aid/"/>
    </mc:Choice>
  </mc:AlternateContent>
  <xr:revisionPtr revIDLastSave="0" documentId="14_{96F46302-3B44-46CC-B1BF-4107CA6552AA}" xr6:coauthVersionLast="47" xr6:coauthVersionMax="47" xr10:uidLastSave="{00000000-0000-0000-0000-000000000000}"/>
  <bookViews>
    <workbookView xWindow="-120" yWindow="-120" windowWidth="20730" windowHeight="11160" tabRatio="585" firstSheet="1" activeTab="2" xr2:uid="{00000000-000D-0000-FFFF-FFFF00000000}"/>
  </bookViews>
  <sheets>
    <sheet name="Introduction" sheetId="11" r:id="rId1"/>
    <sheet name="Basis of Costs" sheetId="12" r:id="rId2"/>
    <sheet name="Cost of Attendance" sheetId="1" r:id="rId3"/>
    <sheet name="School DATA (Locked)" sheetId="14" state="hidden" r:id="rId4"/>
    <sheet name="Checklist" sheetId="4" r:id="rId5"/>
    <sheet name="Parent Plus Declaration Form" sheetId="20" state="hidden" r:id="rId6"/>
    <sheet name="2Semester_AwardLetter" sheetId="19" state="hidden" r:id="rId7"/>
    <sheet name="3Semester_AwardLetter" sheetId="10" state="hidden" r:id="rId8"/>
    <sheet name="Private AwardLetter" sheetId="13" state="hidden" r:id="rId9"/>
    <sheet name="Sheet1" sheetId="23" state="hidden" r:id="rId10"/>
  </sheets>
  <definedNames>
    <definedName name="_xlnm._FilterDatabase" localSheetId="2" hidden="1">'Cost of Attendance'!$G$8:$G$10</definedName>
    <definedName name="_xlnm._FilterDatabase" localSheetId="3" hidden="1">'School DATA (Locked)'!#REF!</definedName>
    <definedName name="_xlnm.Print_Area" localSheetId="6">'2Semester_AwardLetter'!$B$1:$D$65</definedName>
    <definedName name="_xlnm.Print_Area" localSheetId="7">'3Semester_AwardLetter'!$B$1:$D$65</definedName>
    <definedName name="_xlnm.Print_Area" localSheetId="2">'Cost of Attendance'!$A$1:$E$100</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4" l="1"/>
  <c r="J15" i="1"/>
  <c r="D56" i="1"/>
  <c r="D54" i="1"/>
  <c r="D46" i="1"/>
  <c r="D44" i="1"/>
  <c r="D43" i="1"/>
  <c r="D45" i="1"/>
  <c r="C28" i="1"/>
  <c r="I42" i="14"/>
  <c r="H44" i="14"/>
  <c r="C19" i="19"/>
  <c r="I11" i="14"/>
  <c r="D52" i="1"/>
  <c r="Q38" i="1"/>
  <c r="Q37" i="1"/>
  <c r="C62" i="10"/>
  <c r="D55" i="1"/>
  <c r="E8" i="1"/>
  <c r="E6" i="1"/>
  <c r="C31" i="1"/>
  <c r="D47" i="1"/>
  <c r="K10" i="14"/>
  <c r="N71" i="1"/>
  <c r="N72" i="1"/>
  <c r="M34" i="1"/>
  <c r="D41" i="14"/>
  <c r="E18" i="14"/>
  <c r="C62" i="19"/>
  <c r="J42" i="14"/>
  <c r="J25" i="14"/>
  <c r="E7" i="14"/>
  <c r="E23" i="14"/>
  <c r="E21" i="14"/>
  <c r="E20" i="14"/>
  <c r="J19" i="14"/>
  <c r="E19" i="14"/>
  <c r="E22" i="14"/>
  <c r="I16" i="14"/>
  <c r="D9" i="1"/>
  <c r="G42" i="1"/>
  <c r="G43" i="1"/>
  <c r="G44" i="1"/>
  <c r="G45" i="1"/>
  <c r="J7" i="14"/>
  <c r="E25" i="14"/>
  <c r="C52" i="13"/>
  <c r="B47" i="13"/>
  <c r="B46" i="13"/>
  <c r="B45" i="13"/>
  <c r="B44" i="13"/>
  <c r="C19" i="13"/>
  <c r="C18" i="13"/>
  <c r="C17" i="13"/>
  <c r="B6" i="13"/>
  <c r="B5" i="13"/>
  <c r="B4" i="13"/>
  <c r="B3" i="13"/>
  <c r="B2" i="13"/>
  <c r="B1" i="13"/>
  <c r="B57" i="10"/>
  <c r="B56" i="10"/>
  <c r="B55" i="10"/>
  <c r="B54" i="10"/>
  <c r="C19" i="10"/>
  <c r="C18" i="10"/>
  <c r="C17" i="10"/>
  <c r="B6" i="10"/>
  <c r="B5" i="10"/>
  <c r="B4" i="10"/>
  <c r="B3" i="10"/>
  <c r="B2" i="10"/>
  <c r="B1" i="10"/>
  <c r="B57" i="19"/>
  <c r="B56" i="19"/>
  <c r="B55" i="19"/>
  <c r="B54" i="19"/>
  <c r="C18" i="19"/>
  <c r="C17" i="19"/>
  <c r="B6" i="19"/>
  <c r="B5" i="19"/>
  <c r="B4" i="19"/>
  <c r="B3" i="19"/>
  <c r="B2" i="19"/>
  <c r="B1" i="19"/>
  <c r="B52" i="20"/>
  <c r="C20" i="20"/>
  <c r="C19" i="20"/>
  <c r="C18" i="20"/>
  <c r="B6" i="20"/>
  <c r="B5" i="20"/>
  <c r="B4" i="20"/>
  <c r="B3" i="20"/>
  <c r="B2" i="20"/>
  <c r="B1" i="20"/>
  <c r="C28" i="4"/>
  <c r="C27" i="4"/>
  <c r="C24" i="4"/>
  <c r="A24" i="4"/>
  <c r="C23" i="4"/>
  <c r="A23" i="4"/>
  <c r="C21" i="4"/>
  <c r="C18" i="4"/>
  <c r="A18" i="4"/>
  <c r="A17" i="4"/>
  <c r="C12" i="4"/>
  <c r="C11" i="4"/>
  <c r="C10" i="4"/>
  <c r="C9" i="4"/>
  <c r="C8" i="4"/>
  <c r="C7" i="4"/>
  <c r="C87" i="1"/>
  <c r="C81" i="1"/>
  <c r="J78" i="1"/>
  <c r="C77" i="1"/>
  <c r="C76" i="1"/>
  <c r="C89" i="1"/>
  <c r="C75" i="1"/>
  <c r="C74" i="1"/>
  <c r="D73" i="1"/>
  <c r="C73" i="1"/>
  <c r="C71" i="1"/>
  <c r="A71" i="1"/>
  <c r="C70" i="1"/>
  <c r="C69" i="1"/>
  <c r="C68" i="1"/>
  <c r="C67" i="1"/>
  <c r="C66" i="1"/>
  <c r="C65" i="1"/>
  <c r="C64" i="1"/>
  <c r="C63" i="1"/>
  <c r="C62" i="1"/>
  <c r="K60" i="1"/>
  <c r="D61" i="1"/>
  <c r="C61" i="1"/>
  <c r="D58" i="1"/>
  <c r="E58" i="1"/>
  <c r="C58" i="1"/>
  <c r="D57" i="1"/>
  <c r="E57" i="1"/>
  <c r="C57" i="1"/>
  <c r="C56" i="1"/>
  <c r="M54" i="1"/>
  <c r="L54" i="1"/>
  <c r="C55" i="1"/>
  <c r="M53" i="1"/>
  <c r="L53" i="1"/>
  <c r="M52" i="1"/>
  <c r="L52" i="1"/>
  <c r="E51" i="1"/>
  <c r="I36" i="1"/>
  <c r="I35" i="1"/>
  <c r="I34" i="1"/>
  <c r="I33" i="1"/>
  <c r="I32" i="1"/>
  <c r="C29" i="1"/>
  <c r="M27" i="1"/>
  <c r="L27" i="1"/>
  <c r="K27" i="1"/>
  <c r="I27" i="1"/>
  <c r="H27" i="1"/>
  <c r="G27" i="1"/>
  <c r="I26" i="1"/>
  <c r="H26" i="1"/>
  <c r="G26" i="1"/>
  <c r="I25" i="1"/>
  <c r="H25" i="1"/>
  <c r="G25" i="1"/>
  <c r="I24" i="1"/>
  <c r="H24" i="1"/>
  <c r="G24" i="1"/>
  <c r="I23" i="1"/>
  <c r="H23" i="1"/>
  <c r="G23" i="1"/>
  <c r="M16" i="1"/>
  <c r="J16" i="1"/>
  <c r="J14" i="1"/>
  <c r="Q35" i="1"/>
  <c r="M15" i="1"/>
  <c r="J13" i="1"/>
  <c r="Q34" i="1"/>
  <c r="M14" i="1"/>
  <c r="M13" i="1"/>
  <c r="Q36" i="1"/>
  <c r="D10" i="1"/>
  <c r="J41" i="1"/>
  <c r="C4" i="1"/>
  <c r="J16" i="14"/>
  <c r="H46" i="14"/>
  <c r="C91" i="1"/>
  <c r="C98" i="1"/>
  <c r="B12" i="19"/>
  <c r="C27" i="13"/>
  <c r="C28" i="13"/>
  <c r="B43" i="10"/>
  <c r="B35" i="13"/>
  <c r="B45" i="10"/>
  <c r="G28" i="1"/>
  <c r="K62" i="1"/>
  <c r="I28" i="1"/>
  <c r="G78" i="1"/>
  <c r="C79" i="1"/>
  <c r="N54" i="1"/>
  <c r="O54" i="1"/>
  <c r="B91" i="1"/>
  <c r="B98" i="1"/>
  <c r="C96" i="1"/>
  <c r="E24" i="14"/>
  <c r="D7" i="1"/>
  <c r="C31" i="19"/>
  <c r="G41" i="1"/>
  <c r="B31" i="20"/>
  <c r="B44" i="19"/>
  <c r="B44" i="10"/>
  <c r="B34" i="13"/>
  <c r="F49" i="1"/>
  <c r="N52" i="1"/>
  <c r="O52" i="1"/>
  <c r="B89" i="1"/>
  <c r="B96" i="1"/>
  <c r="C97" i="1"/>
  <c r="C31" i="10"/>
  <c r="B46" i="19"/>
  <c r="J42" i="1"/>
  <c r="B32" i="20"/>
  <c r="B12" i="10"/>
  <c r="L13" i="1"/>
  <c r="N16" i="1"/>
  <c r="C46" i="19"/>
  <c r="B12" i="20"/>
  <c r="C24" i="20"/>
  <c r="C32" i="19"/>
  <c r="C32" i="10"/>
  <c r="B46" i="10"/>
  <c r="B12" i="13"/>
  <c r="N53" i="1"/>
  <c r="O53" i="1"/>
  <c r="B90" i="1"/>
  <c r="B97" i="1"/>
  <c r="C25" i="20"/>
  <c r="B43" i="19"/>
  <c r="H47" i="14"/>
  <c r="H48" i="14"/>
  <c r="Q39" i="1"/>
  <c r="G50" i="1"/>
  <c r="G51" i="1"/>
  <c r="G52" i="1"/>
  <c r="G53" i="1"/>
  <c r="G54" i="1"/>
  <c r="G55" i="1"/>
  <c r="G56" i="1"/>
  <c r="H56" i="1"/>
  <c r="G32" i="1"/>
  <c r="J43" i="1"/>
  <c r="C46" i="10"/>
  <c r="Q41" i="1"/>
  <c r="H54" i="1"/>
  <c r="H50" i="1"/>
  <c r="H53" i="1"/>
  <c r="H51" i="1"/>
  <c r="H55" i="1"/>
  <c r="H52" i="1"/>
  <c r="G33" i="1"/>
  <c r="H32" i="1"/>
  <c r="H60" i="1"/>
  <c r="D62" i="1"/>
  <c r="H49" i="14"/>
  <c r="H50" i="14"/>
  <c r="H6" i="1"/>
  <c r="H5" i="1"/>
  <c r="J44" i="1"/>
  <c r="H66" i="1"/>
  <c r="D68" i="1"/>
  <c r="H33" i="1"/>
  <c r="G34" i="1"/>
  <c r="G36" i="1"/>
  <c r="H36" i="1"/>
  <c r="J45" i="1"/>
  <c r="G35" i="1"/>
  <c r="H35" i="1"/>
  <c r="H34" i="1"/>
  <c r="I37" i="1"/>
  <c r="H68" i="1"/>
  <c r="D70" i="1"/>
  <c r="H42" i="1"/>
  <c r="I42" i="1"/>
  <c r="H62" i="1"/>
  <c r="D64" i="1"/>
  <c r="H43" i="1"/>
  <c r="I43" i="1"/>
  <c r="H63" i="1"/>
  <c r="D65" i="1"/>
  <c r="H44" i="1"/>
  <c r="I44" i="1"/>
  <c r="H64" i="1"/>
  <c r="D66" i="1"/>
  <c r="H45" i="1"/>
  <c r="I45" i="1"/>
  <c r="H65" i="1"/>
  <c r="D67" i="1"/>
  <c r="H99" i="1"/>
  <c r="H41" i="1"/>
  <c r="G99" i="1"/>
  <c r="I41" i="1"/>
  <c r="H61" i="1"/>
  <c r="D63" i="1"/>
  <c r="F40" i="1"/>
  <c r="H67" i="1"/>
  <c r="C84" i="1"/>
  <c r="H69" i="1"/>
  <c r="C31" i="13"/>
  <c r="D69" i="1"/>
  <c r="C85" i="1"/>
  <c r="G77" i="1"/>
  <c r="C78" i="1"/>
  <c r="K59" i="1"/>
  <c r="K61" i="1"/>
  <c r="K63" i="1"/>
  <c r="N61" i="1"/>
  <c r="D71" i="1"/>
  <c r="G71" i="1"/>
  <c r="C35" i="13"/>
  <c r="C34" i="13"/>
  <c r="C38" i="13"/>
  <c r="M63" i="1"/>
  <c r="L65" i="1"/>
  <c r="E77" i="1"/>
  <c r="G88" i="1"/>
  <c r="L66" i="1"/>
  <c r="H75" i="1"/>
  <c r="L67" i="1"/>
  <c r="N65" i="1"/>
  <c r="D76" i="1"/>
  <c r="A89" i="1"/>
  <c r="D89" i="1"/>
  <c r="H88" i="1"/>
  <c r="K73" i="1"/>
  <c r="G89" i="1"/>
  <c r="A90" i="1"/>
  <c r="D90" i="1"/>
  <c r="H76" i="1"/>
  <c r="D77" i="1"/>
  <c r="F87" i="1"/>
  <c r="C37" i="10"/>
  <c r="C37" i="19"/>
  <c r="E89" i="1"/>
  <c r="M67" i="1"/>
  <c r="K70" i="1"/>
  <c r="E78" i="1"/>
  <c r="H89" i="1"/>
  <c r="H78" i="1"/>
  <c r="K75" i="1"/>
  <c r="G90" i="1"/>
  <c r="E90" i="1"/>
  <c r="C38" i="10"/>
  <c r="F88" i="1"/>
  <c r="C38" i="19"/>
  <c r="I77" i="1"/>
  <c r="E79" i="1"/>
  <c r="H90" i="1"/>
  <c r="H91" i="1"/>
  <c r="A91" i="1"/>
  <c r="D91" i="1"/>
  <c r="G91" i="1"/>
  <c r="A92" i="1"/>
  <c r="D79" i="1"/>
  <c r="H80" i="1"/>
  <c r="D81" i="1"/>
  <c r="C39" i="10"/>
  <c r="C39" i="19"/>
  <c r="E91" i="1"/>
  <c r="E92" i="1"/>
  <c r="F89" i="1"/>
  <c r="C28" i="20"/>
  <c r="D92" i="1"/>
  <c r="C32" i="20"/>
  <c r="C31" i="20"/>
  <c r="R61" i="1"/>
  <c r="F90" i="1"/>
  <c r="Q40" i="1"/>
  <c r="N73" i="1"/>
  <c r="C94" i="1"/>
  <c r="N14" i="1"/>
  <c r="C44" i="10"/>
  <c r="N15" i="1"/>
  <c r="C45" i="10"/>
  <c r="C40" i="19"/>
  <c r="C40" i="10"/>
  <c r="N13" i="1"/>
  <c r="C93" i="1"/>
  <c r="R41" i="1"/>
  <c r="C35" i="20"/>
  <c r="C43" i="19"/>
  <c r="C44" i="19"/>
  <c r="N17" i="1"/>
  <c r="C43" i="10"/>
  <c r="Q42" i="1"/>
  <c r="C47" i="19"/>
  <c r="C48" i="19"/>
  <c r="C47" i="10"/>
  <c r="C48" i="10"/>
</calcChain>
</file>

<file path=xl/sharedStrings.xml><?xml version="1.0" encoding="utf-8"?>
<sst xmlns="http://schemas.openxmlformats.org/spreadsheetml/2006/main" count="563" uniqueCount="460">
  <si>
    <t>What is you EFC (top right of front page of SAR) Even zero must be entered</t>
  </si>
  <si>
    <t>Room - Rent</t>
  </si>
  <si>
    <t>Personal</t>
  </si>
  <si>
    <t>Books &amp; Copying</t>
  </si>
  <si>
    <t>Y</t>
  </si>
  <si>
    <t>N</t>
  </si>
  <si>
    <t>Application/Student Number</t>
  </si>
  <si>
    <t>Board - Food and Power</t>
  </si>
  <si>
    <t>Sub</t>
  </si>
  <si>
    <t>postgraduates</t>
  </si>
  <si>
    <t>Undergraduate1</t>
  </si>
  <si>
    <t>Undergraduate2</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</si>
  <si>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</si>
  <si>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</si>
  <si>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</si>
  <si>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</si>
  <si>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</si>
  <si>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</si>
  <si>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</si>
  <si>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</si>
  <si>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</si>
  <si>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</si>
  <si>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</si>
  <si>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</si>
  <si>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</si>
  <si>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</si>
  <si>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</si>
  <si>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</si>
  <si>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</si>
  <si>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</si>
  <si>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</si>
  <si>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</si>
  <si>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</si>
  <si>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</si>
  <si>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</si>
  <si>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</si>
  <si>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</si>
  <si>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Other Essential Costs</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</si>
  <si>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</si>
  <si>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</si>
  <si>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</si>
  <si>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</si>
  <si>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</si>
  <si>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</si>
  <si>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</si>
  <si>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</si>
  <si>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</si>
  <si>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</si>
  <si>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</si>
  <si>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</si>
  <si>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</si>
  <si>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</si>
  <si>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</si>
  <si>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</si>
  <si>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</si>
  <si>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</si>
  <si>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</si>
  <si>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</si>
  <si>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</si>
  <si>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OK Statement</t>
  </si>
  <si>
    <t>Qualify 1</t>
  </si>
  <si>
    <t>Qualify 2</t>
  </si>
  <si>
    <t>Undergrad Courses which could get Postgrad funding</t>
  </si>
  <si>
    <t>I</t>
  </si>
  <si>
    <t>D</t>
  </si>
  <si>
    <t>Depend</t>
  </si>
  <si>
    <t>Address Line 1</t>
  </si>
  <si>
    <t>Address Line 2</t>
  </si>
  <si>
    <t>Address Line 3</t>
  </si>
  <si>
    <t>Address Line 4</t>
  </si>
  <si>
    <t>Email</t>
  </si>
  <si>
    <t>Date of Birth dd/mm/yyyy</t>
  </si>
  <si>
    <t>Full Social Security Number</t>
  </si>
  <si>
    <t>Family Name (Surname)</t>
  </si>
  <si>
    <t>THE COSTS YOU HAVE SUGGESTED ARE TOO HIGH TO BE ACCEPTABLE</t>
  </si>
  <si>
    <t>Subsidised</t>
  </si>
  <si>
    <t>Your Request</t>
  </si>
  <si>
    <t>Total Requested Cost of Attendance</t>
  </si>
  <si>
    <t>You are allowed to borrow up to the values above</t>
  </si>
  <si>
    <t>OK Statement 1</t>
  </si>
  <si>
    <t>OK Statement 2</t>
  </si>
  <si>
    <t>We will check everything you have provided with the USDE data and regulations</t>
  </si>
  <si>
    <t>You must provide evidence of your costs/needs before we can process your application</t>
  </si>
  <si>
    <t>Total</t>
  </si>
  <si>
    <t>Origination Fees</t>
  </si>
  <si>
    <t>Loan Type</t>
  </si>
  <si>
    <t>% Rate</t>
  </si>
  <si>
    <t>Loan Dates</t>
  </si>
  <si>
    <t>Undergrads</t>
  </si>
  <si>
    <t>Start</t>
  </si>
  <si>
    <t>End</t>
  </si>
  <si>
    <t>Postgrads</t>
  </si>
  <si>
    <t>Disburse Dates</t>
  </si>
  <si>
    <t>Please put Y or N in the response box for each question</t>
  </si>
  <si>
    <t>Checklist for Direct List Loan Applications</t>
  </si>
  <si>
    <t>Response</t>
  </si>
  <si>
    <t>Provide evidence of your needs for any increase to  PLUS to be considered or borrow less in Section 6</t>
  </si>
  <si>
    <t>After Origination Fees You Get</t>
  </si>
  <si>
    <t>What does your SAR say for "dependancy status" Only answer I or D</t>
  </si>
  <si>
    <t>School Comments</t>
  </si>
  <si>
    <t>Only Y or N</t>
  </si>
  <si>
    <t>Have you attached your Stafford MPN</t>
  </si>
  <si>
    <t>Have you applied for a PLUS Loan</t>
  </si>
  <si>
    <t>Selective Service</t>
  </si>
  <si>
    <t>Promissory Notes</t>
  </si>
  <si>
    <t>Entrance Counselling</t>
  </si>
  <si>
    <t>Have you attached your entrance counselling completion</t>
  </si>
  <si>
    <t>Allowed</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</si>
  <si>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</si>
  <si>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</si>
  <si>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</si>
  <si>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</si>
  <si>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</si>
  <si>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</si>
  <si>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Eligible students from the U.S. who attend our school may borrow through the Direct Loan Program. </t>
  </si>
  <si>
    <t xml:space="preserve">Graduate/professional students and parents may receive Direct PLUS Loans. </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</si>
  <si>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</si>
  <si>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</si>
  <si>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</si>
  <si>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</si>
  <si>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</si>
  <si>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</si>
  <si>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</si>
  <si>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</si>
  <si>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</si>
  <si>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surname</t>
  </si>
  <si>
    <t>forename</t>
  </si>
  <si>
    <t>line 1</t>
  </si>
  <si>
    <t>line 2</t>
  </si>
  <si>
    <t>line 3</t>
  </si>
  <si>
    <t>line 4</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</si>
  <si>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</si>
  <si>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</si>
  <si>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</si>
  <si>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</si>
  <si>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5. It tells you how much of your loan will be retained by the government as origination fee</t>
  </si>
  <si>
    <t>6. It calculates the cost of the originations fees and increases the PLUS loan to cover them</t>
  </si>
  <si>
    <t>The default setting is "N"</t>
  </si>
  <si>
    <t>Date Issued</t>
  </si>
  <si>
    <t>If there are no school comments then we have sufficient information to start the origination process. If anything is missing or incorrect, then we cannot originate your loans.</t>
  </si>
  <si>
    <t>This spreadsheet is to help you and us</t>
  </si>
  <si>
    <t>Max Loans Allowed Adjusted for Fees</t>
  </si>
  <si>
    <t>Max Loan after grossing up for Fees adjustments</t>
  </si>
  <si>
    <t>Are you female</t>
  </si>
  <si>
    <t>put 2nd date</t>
  </si>
  <si>
    <t>put 3rd date or blank</t>
  </si>
  <si>
    <t>put 4th date or blank</t>
  </si>
  <si>
    <t>ONLY ENTER DATES</t>
  </si>
  <si>
    <t>VALUES ARE AUTOMATIC</t>
  </si>
  <si>
    <t>Cost of Attendance - How to use this spreadsheet</t>
  </si>
  <si>
    <t>Exchange Rate</t>
  </si>
  <si>
    <t>2 return flights</t>
  </si>
  <si>
    <t>PC</t>
  </si>
  <si>
    <t>PLUS Loan</t>
  </si>
  <si>
    <t>If anything on the checklist is missing we will not be able to start to process your application</t>
  </si>
  <si>
    <t>How these Costs are Calculated</t>
  </si>
  <si>
    <t>Year Dates</t>
  </si>
  <si>
    <t>These dates are set to minimise the risk of your loan being rejected by overlapping a previous year.</t>
  </si>
  <si>
    <t>Disbursement Dates</t>
  </si>
  <si>
    <t>Single Costs for the year - you may adjust or add extras in these columns - you may be asked for proof of your extra needs</t>
  </si>
  <si>
    <t>7 School Responses</t>
  </si>
  <si>
    <t>Interest</t>
  </si>
  <si>
    <t>Rebate</t>
  </si>
  <si>
    <t>Actual</t>
  </si>
  <si>
    <t>Factor</t>
  </si>
  <si>
    <t>Total (after rounding, may be slightly higher than total of section 4)</t>
  </si>
  <si>
    <t>It is used to help you and the school in several ways</t>
  </si>
  <si>
    <t>Government Fees *** Deducted</t>
  </si>
  <si>
    <t>8 Government Fees ***</t>
  </si>
  <si>
    <t>SCHOOL COMMENT ON YOUR PROPOSED COSTS &amp; ELIGIBLE LOANS</t>
  </si>
  <si>
    <t>4. it tells you whether the school will accept the costs you have proposed (Section 5)</t>
  </si>
  <si>
    <t>1. you tell us what we need to know about you before we can start to process your application (Section 1)</t>
  </si>
  <si>
    <t>Final</t>
  </si>
  <si>
    <t>Next review date for Exchange Rate</t>
  </si>
  <si>
    <t>6. you tell us how much you want to borrow (Section 6) You adjust the figures shown in blue</t>
  </si>
  <si>
    <t>Total Eligible before adjustment for Fees</t>
  </si>
  <si>
    <t>MAXIMUM LOAN LEVELS AVAILABLE</t>
  </si>
  <si>
    <t>CONVERTING FEES AND CONTRIBUTIONS TO DOLLARS</t>
  </si>
  <si>
    <t>CONVERTING WEEKLY COSTS TO DOLLARS</t>
  </si>
  <si>
    <t>CONVERTING ANNUAL COSTS TO DOLLARS</t>
  </si>
  <si>
    <t>FINAL CALCULATIONS</t>
  </si>
  <si>
    <t>PLUS NEED</t>
  </si>
  <si>
    <t>Need for PLUS</t>
  </si>
  <si>
    <t>PLUS Available</t>
  </si>
  <si>
    <t>Requested Cost of Attendance (Values rounded)</t>
  </si>
  <si>
    <t>Sub available</t>
  </si>
  <si>
    <t>ORIG FEE INC</t>
  </si>
  <si>
    <t>Sub Orig Fee</t>
  </si>
  <si>
    <t>Unsub Orig Fee</t>
  </si>
  <si>
    <t>PLUS Orig fee</t>
  </si>
  <si>
    <t>DISBURSEMENTS</t>
  </si>
  <si>
    <t>ORIG FEE NOT INC</t>
  </si>
  <si>
    <t>Government Fees</t>
  </si>
  <si>
    <t>State how much you would like to borrow for each loan type - adjust the figures in blue in the "Your Request" column</t>
  </si>
  <si>
    <t xml:space="preserve">Eligible students from the U.S. who attend our school may borrow private loans through Sallie Mae. </t>
  </si>
  <si>
    <t>Sallie Mae Smart Loan</t>
  </si>
  <si>
    <t>postcode/zipcode</t>
  </si>
  <si>
    <t>email address</t>
  </si>
  <si>
    <t>From July 2012 there is no Subsidised Loan for postgraduates</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</si>
  <si>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</si>
  <si>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</si>
  <si>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</si>
  <si>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</si>
  <si>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</si>
  <si>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</si>
  <si>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</si>
  <si>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</si>
  <si>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</si>
  <si>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</si>
  <si>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</si>
  <si>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</si>
  <si>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</si>
  <si>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</si>
  <si>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</si>
  <si>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</si>
  <si>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</si>
  <si>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</si>
  <si>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</si>
  <si>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</si>
  <si>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</si>
  <si>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</si>
  <si>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</si>
  <si>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</si>
  <si>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</si>
  <si>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</si>
  <si>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</si>
  <si>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</si>
  <si>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</si>
  <si>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</si>
  <si>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</si>
  <si>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</si>
  <si>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</si>
  <si>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</si>
  <si>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</si>
  <si>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</si>
  <si>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</si>
  <si>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</si>
  <si>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</si>
  <si>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</si>
  <si>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</si>
  <si>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</si>
  <si>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</si>
  <si>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</si>
  <si>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</si>
  <si>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</si>
  <si>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</si>
  <si>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</si>
  <si>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</si>
  <si>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</si>
  <si>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</si>
  <si>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Have you entered on the Cost of Attendance how much you wish to borrow (Section 6)</t>
  </si>
  <si>
    <t>Have you entered your name and full address on the  Cost of Attendance</t>
  </si>
  <si>
    <t>Have you entered your SSN on the  Cost of Attendance</t>
  </si>
  <si>
    <t>Have you correctly entered your email address on the  Cost of Attendance</t>
  </si>
  <si>
    <t>Have you entered the EFC from your SAR on the  Cost of Attendance</t>
  </si>
  <si>
    <t>Have you entered your tuition fees on the  Cost of Attendance</t>
  </si>
  <si>
    <t>SCHOOL INFORMATION</t>
  </si>
  <si>
    <t>MONEY INFORMATION</t>
  </si>
  <si>
    <t>AND/OR</t>
  </si>
  <si>
    <t>official end of summer term - ONLY if earlier</t>
  </si>
  <si>
    <t>You must also complete the Checklist</t>
  </si>
  <si>
    <t>The checklist will tell you the consequence of anything missing</t>
  </si>
  <si>
    <t>If anything is missing or incomplete, your application will be rejected.</t>
  </si>
  <si>
    <t>For your information …</t>
  </si>
  <si>
    <t>3. it calculates how much you need and are eligible to borrow (Section 4)</t>
  </si>
  <si>
    <t>Information sent by the US Dept of Ed to schools also includes all those who may not apply or enroll.</t>
  </si>
  <si>
    <t>There are sets of documents which we have to receive before we can even start to certify or complete your loans</t>
  </si>
  <si>
    <t>The Basis of Costs tab shows you how we calculated the Cost of Attendance</t>
  </si>
  <si>
    <t>2. you can re-calculate your costs (Sections 2 &amp; 3) and if needed you can change our values shown in blue</t>
  </si>
  <si>
    <t>Worst combination goes to the CoA</t>
  </si>
  <si>
    <t>Worst Fee Rate</t>
  </si>
  <si>
    <t>What are the initials of your staff allowed to sign visa letters USE BLOCK CAPS</t>
  </si>
  <si>
    <t>which come from the US Dept of Education and are administered through this school.</t>
  </si>
  <si>
    <t>When - long after the first disbursement - will you review the exchange rate</t>
  </si>
  <si>
    <t>Travelcard/Transport Costs</t>
  </si>
  <si>
    <t>What is your normal family shopping for a week and adjust for one adult</t>
  </si>
  <si>
    <t>PC and Printer</t>
  </si>
  <si>
    <t>Postgrad weeks</t>
  </si>
  <si>
    <t>Year 1</t>
  </si>
  <si>
    <t>Year 2</t>
  </si>
  <si>
    <t>Year 3</t>
  </si>
  <si>
    <t>Year 4</t>
  </si>
  <si>
    <t>Dependent Unsubsidised</t>
  </si>
  <si>
    <t>Independent Unsubsidised</t>
  </si>
  <si>
    <t xml:space="preserve">Worst case costs at worst exchange </t>
  </si>
  <si>
    <t>plus worst origination rates</t>
  </si>
  <si>
    <t>When did you complete this form</t>
  </si>
  <si>
    <t>This form and exchange rates revised</t>
  </si>
  <si>
    <t>Max Loans allowed before review</t>
  </si>
  <si>
    <t>COMPLETE THE YELLOW BOXES ONLY</t>
  </si>
  <si>
    <r>
      <t>Weekly Essential Costs</t>
    </r>
    <r>
      <rPr>
        <b/>
        <sz val="12"/>
        <color indexed="9"/>
        <rFont val="Arial"/>
        <family val="2"/>
      </rPr>
      <t xml:space="preserve"> - School Maximum Estimates - you can adjust the values but may be asked for proofs of your adjusted costs</t>
    </r>
  </si>
  <si>
    <t>Private Loan</t>
  </si>
  <si>
    <t>Government Loan</t>
  </si>
  <si>
    <t>Is this application for a Private loan (Sallie Mae), please select from this drop-box</t>
  </si>
  <si>
    <t>What is your best estimate for electricity/gas for a week (use our own home direct debits?)</t>
  </si>
  <si>
    <t>Do NOT put in a date where you don't have a disbursement</t>
  </si>
  <si>
    <t>PG T1</t>
  </si>
  <si>
    <t>PG T2</t>
  </si>
  <si>
    <t>PG T3</t>
  </si>
  <si>
    <t>PG T4</t>
  </si>
  <si>
    <t>The School certifies the value of these loans and receives the disbursements to give to the student.</t>
  </si>
  <si>
    <t>Normal cost of one return journey for 7 days or a weekly travel card covering the area, whichever is the greater</t>
  </si>
  <si>
    <t>Date of Birth</t>
  </si>
  <si>
    <t>To ensure that your application is as smooth as possible, you must complete the Cost of Attendance spreadsheet and the checklist</t>
  </si>
  <si>
    <t>It  will not be the school's decision to reject your application or to process your loan with things missing</t>
  </si>
  <si>
    <t>If anything on the checklist or spreadsheet is missing or untrue your application will be rejected by the ED Dept's systems</t>
  </si>
  <si>
    <t>DON'T TOUCH THE BLUE BOXES - They are calculations going to other parts of this workbook</t>
  </si>
  <si>
    <t>School to Complete ONLY the yellow boxes</t>
  </si>
  <si>
    <t>Postgraduates - The loan year will be 365 days</t>
  </si>
  <si>
    <t>Do not write the name of any bank</t>
  </si>
  <si>
    <t>Academic Year Calculations</t>
  </si>
  <si>
    <t>Calculates max allowed before prroof of costs needed</t>
  </si>
  <si>
    <t>Calculates exchange rate for CoA</t>
  </si>
  <si>
    <t>Calculates school CoA</t>
  </si>
  <si>
    <t>Go to the banks near you and collect their exchange rates</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</si>
  <si>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</si>
  <si>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</si>
  <si>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</si>
  <si>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</si>
  <si>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</si>
  <si>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</si>
  <si>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</si>
  <si>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</si>
  <si>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</si>
  <si>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Worst possible rate for Retail US Dollar Rate - best guess</t>
  </si>
  <si>
    <t>Your Request  -  you may reduce these values</t>
  </si>
  <si>
    <t>The exchange rate is artificially high to ( hopefully) cover origination fee increases</t>
  </si>
  <si>
    <t>Rate from 1st Oct 2014</t>
  </si>
  <si>
    <t>Full name of your course</t>
  </si>
  <si>
    <t>What will be your year of study - select from the dropbox only</t>
  </si>
  <si>
    <t>Independent Undergraduates are not eligible for a PLUS Loan</t>
  </si>
  <si>
    <t>You could have borrowed these Govt. Loans</t>
  </si>
  <si>
    <t>These are 15/16 - If you know levels have changed, go to the USDE website and find the loan levels for each type of student</t>
  </si>
  <si>
    <t>Cost of a good quality laptop from a local shop plus a printer</t>
  </si>
  <si>
    <t>Undergraduates - The loan year will be start of academic year to end of final term</t>
  </si>
  <si>
    <t>only 6 banks would accept or exchange dollars</t>
  </si>
  <si>
    <t>Rounding Difference</t>
  </si>
  <si>
    <t>Undergraduate treated as Graduate PLUS Loan</t>
  </si>
  <si>
    <t>sub entitled, conditions are per cell</t>
  </si>
  <si>
    <t>inc BA, UG/PG, porev degree,yr</t>
  </si>
  <si>
    <t>but not dependency</t>
  </si>
  <si>
    <t>tot below is max</t>
  </si>
  <si>
    <t>MAX THIS STU</t>
  </si>
  <si>
    <t>FINANCIAL AID OFFICE USE ONLY</t>
  </si>
  <si>
    <t>What is your estimate for enough pocket money including 'social' events</t>
  </si>
  <si>
    <t>Internal US Flight - Not Considered</t>
  </si>
  <si>
    <t>Term 4 [could be the writing up term after May/June exams]</t>
  </si>
  <si>
    <t>Powerful laptop and printer</t>
  </si>
  <si>
    <t>Add any other essential costs - requested additions</t>
  </si>
  <si>
    <t>*Due to XE uncertaintly I will use a conservative 1.35</t>
  </si>
  <si>
    <t>These are 01 Oct 2014 - If they've changed, go to the USDE website and check origination/rebates for each loan type and adjust below</t>
  </si>
  <si>
    <t>You must complete and upload as required the spreadsheet "Cost of Attendance" tab</t>
  </si>
  <si>
    <t>Please note ….</t>
  </si>
  <si>
    <t>The exchange rate is set by a review of High Street banks and selecting the worst possible rate and incrementing it by the worst possible commission. Please note due to currency uncertainty we have opted to be very conservative. This is sufficient to enable loans to be calculated and originated. The rate will not be re-assessed until after the end of the registration period. Should the rate change unfavourably once the course has started, then the whole Cost of Attendance can be reviewed again.</t>
  </si>
  <si>
    <t>This covers all the bills for a month for a normal household including alcohol, all household cleaning materials and all food etc. This is more than enough to cover the food, provisions and power for a single person.</t>
  </si>
  <si>
    <t>Before purchasing books please visit our campus libraries as most course materials are accessible there.</t>
  </si>
  <si>
    <t>Cost of two return flights Dublin/LA  travelling at weekends and rounded up by 100 to nearest 100</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</si>
  <si>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euro cost of attendance.</t>
  </si>
  <si>
    <t>We advertise the following warning on our website:  You will not have immediate access to your loan funds when you arrive in Ireland - you will need to prepare for this by bringing sufficient money, especially if your loan application was late. While we try our best to make the loan process as smooth as possible, sometimes delays and problems occur that are out of our control.</t>
  </si>
  <si>
    <t>[Type Applicant/Student Number as appears on your Application]</t>
  </si>
  <si>
    <t>[Type Course Name Here as Appears on your Application]</t>
  </si>
  <si>
    <t>Cost of 2 return flights - write here - only in €</t>
  </si>
  <si>
    <t>ESTIMATED FINAL COSTS &amp; US ED DEPT MAXIMUM. LOAN ELIGIBILITY- YOU MAY BORROW LESS</t>
  </si>
  <si>
    <t>We participate in the William D. Ford Federal Direct Loan (Direct Loan) Program.</t>
  </si>
  <si>
    <t xml:space="preserve">This is administered by the United States (U.S.) Department of Education. </t>
  </si>
  <si>
    <t xml:space="preserve">if a student provides evidence that </t>
  </si>
  <si>
    <t>they have submitted all necessary</t>
  </si>
  <si>
    <t xml:space="preserve">documentation. </t>
  </si>
  <si>
    <t>Students can do this by printing</t>
  </si>
  <si>
    <t>their Federal Aid Application</t>
  </si>
  <si>
    <t xml:space="preserve">Screen as a PDF. </t>
  </si>
  <si>
    <t>Undergraduate students and graduate/professional students may receive Direct Subsidized Loans and</t>
  </si>
  <si>
    <t>Direct Unsubsidized Loans.</t>
  </si>
  <si>
    <t>Documents.</t>
  </si>
  <si>
    <r>
      <t xml:space="preserve">The disbursement dates for a student on a </t>
    </r>
    <r>
      <rPr>
        <u/>
        <sz val="12"/>
        <rFont val="Times New Roman"/>
        <family val="1"/>
      </rPr>
      <t>three semester programme</t>
    </r>
    <r>
      <rPr>
        <sz val="12"/>
        <rFont val="Times New Roman"/>
        <family val="1"/>
      </rPr>
      <t xml:space="preserve"> are as follows:</t>
    </r>
  </si>
  <si>
    <r>
      <t xml:space="preserve">The disbursement dates for a  student on a </t>
    </r>
    <r>
      <rPr>
        <u/>
        <sz val="12"/>
        <rFont val="Times New Roman"/>
        <family val="1"/>
      </rPr>
      <t>two semester programme</t>
    </r>
    <r>
      <rPr>
        <sz val="12"/>
        <rFont val="Times New Roman"/>
        <family val="1"/>
      </rPr>
      <t xml:space="preserve"> are as follows:</t>
    </r>
  </si>
  <si>
    <t>their Sallie Mae approval information</t>
  </si>
  <si>
    <t>Plus Loan</t>
  </si>
  <si>
    <t>Parent Plus Loan</t>
  </si>
  <si>
    <t xml:space="preserve">I wish for this amount to be applied to the account of the student named on this form and used to pay </t>
  </si>
  <si>
    <t xml:space="preserve">tuition and, if applicable, housing fees. After these fees have been deducted I wish for the balance </t>
  </si>
  <si>
    <t>to be issued to the student named on this form:</t>
  </si>
  <si>
    <t>I wish to certiy a Parent Plus loan between the following Loan Period:</t>
  </si>
  <si>
    <t>Date Issued:</t>
  </si>
  <si>
    <t xml:space="preserve">Parent's email address:                                                                                                                      </t>
  </si>
  <si>
    <t xml:space="preserve">Parent's Signature:                                                                                                                               </t>
  </si>
  <si>
    <t>This form should be completed by the parent who is taking out the PLUS loan and returned with the student’s Loan Amount Declaration. The student must upload this to the Federal Aid Application System.</t>
  </si>
  <si>
    <t>The student indicated above will receive the following Plus Loan award on my behalf:</t>
  </si>
  <si>
    <t>Unsubsidised</t>
  </si>
  <si>
    <t xml:space="preserve">A slightly exaggerated estimate for  'pocket money' for a week. </t>
  </si>
  <si>
    <t>Our office has checked the prices of all halls of residence (not including catering) and selected the highest below self-contained suite. We have searched for the average price of a room in a shared flat and for a studio flat in the close area using the web and general estate agent searches). We have selected the higher average price of the two scenarios.</t>
  </si>
  <si>
    <t>Your government takes an origination fee for all loan funds disbursed.</t>
  </si>
  <si>
    <t xml:space="preserve">Parent’s Name:                                                                                     </t>
  </si>
  <si>
    <t xml:space="preserve">Parents SSN:                                                                           </t>
  </si>
  <si>
    <t>Zipcode/Postcode/Eircode</t>
  </si>
  <si>
    <t>Warning - These dates are expected and not actual. Allow for an additional 3 days delay</t>
  </si>
  <si>
    <t>dd/mm/yyyy</t>
  </si>
  <si>
    <t xml:space="preserve">Enter the Tuition Fees, see your online Offer Letter - don't type in the € sign as it is already formatted. </t>
  </si>
  <si>
    <t>Euro Value for Total Cost of Attendance (once sections completed)</t>
  </si>
  <si>
    <t>XXX-XX-XXXX</t>
  </si>
  <si>
    <t>How much has been awarded by any other Sponsor, Scholarship or Financial Aid in Ireland</t>
  </si>
  <si>
    <t>How much has been awarded by any other Sponsor, Scholarship or Financial Aid from the USA</t>
  </si>
  <si>
    <t>Section 2 Criteria Check;</t>
  </si>
  <si>
    <t>Max Amount</t>
  </si>
  <si>
    <t>Requested Amount</t>
  </si>
  <si>
    <t>The student will receive the following Direct Loan awards</t>
  </si>
  <si>
    <t>The student is eligible for a loan with Sallie Mae as follows:</t>
  </si>
  <si>
    <t xml:space="preserve"> the student is eligible to receive the following Private Loan awards:</t>
  </si>
  <si>
    <t>Semester</t>
  </si>
  <si>
    <t>Semester Entry</t>
  </si>
  <si>
    <t>Blackrock Halls</t>
  </si>
  <si>
    <t>Glenomena</t>
  </si>
  <si>
    <t>Roebuck Castle </t>
  </si>
  <si>
    <t>Amount after origination - (Fees - Scholarships) in dollars</t>
  </si>
  <si>
    <t>Loan Origination Amount</t>
  </si>
  <si>
    <t>Belgrove </t>
  </si>
  <si>
    <t>Merville </t>
  </si>
  <si>
    <t>Ashfield</t>
  </si>
  <si>
    <t>Proby </t>
  </si>
  <si>
    <t>Roebuck Hall </t>
  </si>
  <si>
    <t>Muckross</t>
  </si>
  <si>
    <t>GG= Good Game</t>
  </si>
  <si>
    <t>Edits done by Srivats Chari</t>
  </si>
  <si>
    <t>no inflation %</t>
  </si>
  <si>
    <t>School's Max Estimate per week</t>
  </si>
  <si>
    <t>School's Max Estimate per Year</t>
  </si>
  <si>
    <t>Accomodation sheet is made in such a way that students choose their accomodation and it tells if they are eligible or not.</t>
  </si>
  <si>
    <t>If its GG anywhere, cell would be blacked out.</t>
  </si>
  <si>
    <t>The list of campus accomodation is hidden on the accomodation sheet.</t>
  </si>
  <si>
    <t>New addition is number of semesters on the COA page. It is linked with the accomodation Sheet.</t>
  </si>
  <si>
    <t>The fees vary as per their selection of semesters. The accomodation fees is locked and hidden with the COA page.</t>
  </si>
  <si>
    <t>The Accomodation rates need to be updated each year.</t>
  </si>
  <si>
    <t>v.1</t>
  </si>
  <si>
    <t>This form has been locked to ensure regulatory compliance</t>
  </si>
  <si>
    <t xml:space="preserve">Please do not edit any formulas. </t>
  </si>
  <si>
    <t>Any attempt to get loan money outside of compliance
with the Federal Regulations will be seen as fraudulent on the
applicant’s part and have far reaching consequence.</t>
  </si>
  <si>
    <r>
      <t xml:space="preserve">What is the date of your last Bachelors' graduation ceremony </t>
    </r>
    <r>
      <rPr>
        <b/>
        <u/>
        <sz val="10"/>
        <color rgb="FFFF0000"/>
        <rFont val="Times New Roman"/>
        <family val="1"/>
      </rPr>
      <t>in the summer</t>
    </r>
    <r>
      <rPr>
        <sz val="10"/>
        <color rgb="FFFF0000"/>
        <rFont val="Times New Roman"/>
        <family val="1"/>
      </rPr>
      <t xml:space="preserve"> </t>
    </r>
  </si>
  <si>
    <t>You should also use the flowchart from our website to see the order in which you need to do each stage of your application</t>
  </si>
  <si>
    <r>
      <t xml:space="preserve">The checklist helps you ensure that everything needed has been completed for us to process your application; </t>
    </r>
    <r>
      <rPr>
        <b/>
        <u/>
        <sz val="10"/>
        <color rgb="FFFF0066"/>
        <rFont val="Times New Roman"/>
        <family val="1"/>
      </rPr>
      <t>without it nothing can be processed</t>
    </r>
  </si>
  <si>
    <r>
      <t xml:space="preserve">When we will receive this spreadsheet - </t>
    </r>
    <r>
      <rPr>
        <b/>
        <u/>
        <sz val="10"/>
        <color rgb="FFFF0066"/>
        <rFont val="Times New Roman"/>
        <family val="1"/>
      </rPr>
      <t>and ALL the required attachments</t>
    </r>
    <r>
      <rPr>
        <b/>
        <sz val="10"/>
        <color indexed="30"/>
        <rFont val="Times New Roman"/>
        <family val="1"/>
      </rPr>
      <t xml:space="preserve"> - that is our trigger that you have done everything for us to start on your loan</t>
    </r>
  </si>
  <si>
    <r>
      <t xml:space="preserve">All required documents must be emailed to </t>
    </r>
    <r>
      <rPr>
        <sz val="10"/>
        <color rgb="FFFF0066"/>
        <rFont val="Times New Roman"/>
        <family val="1"/>
      </rPr>
      <t>USFinancialAid@mu.ie</t>
    </r>
    <r>
      <rPr>
        <sz val="10"/>
        <color theme="1"/>
        <rFont val="Times New Roman"/>
        <family val="1"/>
      </rPr>
      <t xml:space="preserve"> otherwise we cannot process your loan.</t>
    </r>
  </si>
  <si>
    <t>Immigration Card</t>
  </si>
  <si>
    <t>IRP Costs 300 Euros</t>
  </si>
  <si>
    <t>The transfer of funds from ED Dept to our Irish bank and a refund for your living money takes a possible 14 days.</t>
  </si>
  <si>
    <t>Form has been edited and maintained by Alena Jurikova for use by Maynooth University for the purposes of US Federal Aid</t>
  </si>
  <si>
    <t>Avg highest Tuition Fee charged at MU</t>
  </si>
  <si>
    <t>Health and Dental Insurance</t>
  </si>
  <si>
    <t>EURO</t>
  </si>
  <si>
    <t>USD</t>
  </si>
  <si>
    <t xml:space="preserve">Is this course for an Undergraduate Bachelors Degree? </t>
  </si>
  <si>
    <t>How much has already been awarded by Maynooth University as a Scholarship or Financial Aid</t>
  </si>
  <si>
    <t>AJ</t>
  </si>
  <si>
    <t>PH</t>
  </si>
  <si>
    <t xml:space="preserve">AC </t>
  </si>
  <si>
    <t xml:space="preserve">If everything is correct we will originate your loans and issue a certificate. </t>
  </si>
  <si>
    <t>Alena Jurikova, Maynooth University, US Financial Aid Officer</t>
  </si>
  <si>
    <t xml:space="preserve">   Then answer these</t>
  </si>
  <si>
    <t>Have you e-mailed this completed excel spreadsheet to USFinancialAid@mu.ie?</t>
  </si>
  <si>
    <t xml:space="preserve"> </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</si>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</sst>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0"/>
    <numFmt numFmtId="165" formatCode="[$$-409]#,##0"/>
    <numFmt numFmtId="166" formatCode="&quot;£&quot;#,##0.00"/>
    <numFmt numFmtId="167" formatCode="[$$-409]#,##0.00"/>
    <numFmt numFmtId="168" formatCode="#,##0_ ;\-#,##0\ "/>
    <numFmt numFmtId="169" formatCode="[$$-409]#,##0;[Red][$$-409]#,##0"/>
    <numFmt numFmtId="170" formatCode="[$-F800]dddd\,\ mmmm\ dd\,\ yyyy"/>
    <numFmt numFmtId="171" formatCode="[$-809]d\ mmmm\ yyyy;@"/>
    <numFmt numFmtId="172" formatCode="[$$-409]#,##0.00;[Red][$$-409]#,##0.00"/>
    <numFmt numFmtId="173" formatCode="0.0000"/>
    <numFmt numFmtId="174" formatCode="0.0%"/>
    <numFmt numFmtId="175" formatCode="0.0000%"/>
    <numFmt numFmtId="176" formatCode="_-[$€-1809]* #,##0.00_-;\-[$€-1809]* #,##0.00_-;_-[$€-1809]* &quot;-&quot;??_-;_-@_-"/>
    <numFmt numFmtId="177" formatCode="&quot;€&quot;#,##0.00"/>
    <numFmt numFmtId="178" formatCode="000\-00\-0000"/>
    <numFmt numFmtId="179" formatCode="_-[$$-409]* #,##0.00_ ;_-[$$-409]* \-#,##0.00\ ;_-[$$-409]* &quot;-&quot;??_ ;_-@_ "/>
    <numFmt numFmtId="180" formatCode="[$$-409]#,##0.00_ ;\-[$$-409]#,##0.00\ "/>
  </numFmts>
  <fonts count="96" x14ac:knownFonts="1">
    <font>
      <sz val="10"/>
      <name val="Arial"/>
    </font>
    <font>
      <sz val="10"/>
      <name val="Arial"/>
      <family val="2"/>
    </font>
    <font>
      <b/>
      <sz val="10"/>
      <name val="Arial"/>
      <family val="2"/>
    </font>
    <font>
      <b/>
      <sz val="16"/>
      <name val="Arial"/>
      <family val="2"/>
    </font>
    <font>
      <b/>
      <sz val="10"/>
      <color indexed="10"/>
      <name val="Arial"/>
      <family val="2"/>
    </font>
    <font>
      <sz val="8"/>
      <name val="Arial"/>
      <family val="2"/>
    </font>
    <font>
      <sz val="10"/>
      <color indexed="12"/>
      <name val="Arial"/>
      <family val="2"/>
    </font>
    <font>
      <sz val="12"/>
      <name val="Arial"/>
      <family val="2"/>
    </font>
    <font>
      <b/>
      <sz val="12"/>
      <color indexed="9"/>
      <name val="Arial"/>
      <family val="2"/>
    </font>
    <font>
      <b/>
      <sz val="12"/>
      <name val="Arial"/>
      <family val="2"/>
    </font>
    <font>
      <sz val="10"/>
      <color indexed="12"/>
      <name val="Arial"/>
      <family val="2"/>
    </font>
    <font>
      <b/>
      <sz val="12"/>
      <color indexed="12"/>
      <name val="Arial"/>
      <family val="2"/>
    </font>
    <font>
      <sz val="10"/>
      <name val="Arial"/>
      <family val="2"/>
    </font>
    <font>
      <b/>
      <sz val="14"/>
      <name val="Arial"/>
      <family val="2"/>
    </font>
    <font>
      <b/>
      <sz val="14"/>
      <color indexed="10"/>
      <name val="Arial"/>
      <family val="2"/>
    </font>
    <font>
      <u/>
      <sz val="7.5"/>
      <color indexed="12"/>
      <name val="Arial"/>
      <family val="2"/>
    </font>
    <font>
      <b/>
      <sz val="12"/>
      <name val="Arial"/>
      <family val="2"/>
    </font>
    <font>
      <b/>
      <sz val="12"/>
      <color indexed="10"/>
      <name val="Arial"/>
      <family val="2"/>
    </font>
    <font>
      <b/>
      <sz val="12"/>
      <color indexed="10"/>
      <name val="Arial"/>
      <family val="2"/>
    </font>
    <font>
      <sz val="12"/>
      <color indexed="12"/>
      <name val="Arial"/>
      <family val="2"/>
    </font>
    <font>
      <b/>
      <sz val="10"/>
      <color indexed="15"/>
      <name val="Arial"/>
      <family val="2"/>
    </font>
    <font>
      <b/>
      <sz val="18"/>
      <name val="Times New Roman"/>
      <family val="1"/>
    </font>
    <font>
      <sz val="10"/>
      <name val="Times New Roman"/>
      <family val="1"/>
    </font>
    <font>
      <sz val="14"/>
      <name val="Times New Roman"/>
      <family val="1"/>
    </font>
    <font>
      <b/>
      <sz val="12"/>
      <name val="Times New Roman"/>
      <family val="1"/>
    </font>
    <font>
      <sz val="12"/>
      <name val="Times New Roman"/>
      <family val="1"/>
    </font>
    <font>
      <sz val="12"/>
      <color indexed="12"/>
      <name val="Arial"/>
      <family val="2"/>
    </font>
    <font>
      <b/>
      <sz val="14"/>
      <color indexed="12"/>
      <name val="Arial"/>
      <family val="2"/>
    </font>
    <font>
      <b/>
      <sz val="10"/>
      <color indexed="10"/>
      <name val="Times New Roman"/>
      <family val="1"/>
    </font>
    <font>
      <b/>
      <sz val="10"/>
      <name val="Times New Roman"/>
      <family val="1"/>
    </font>
    <font>
      <b/>
      <sz val="10"/>
      <color indexed="12"/>
      <name val="Times New Roman"/>
      <family val="1"/>
    </font>
    <font>
      <b/>
      <sz val="10"/>
      <color indexed="48"/>
      <name val="Arial"/>
      <family val="2"/>
    </font>
    <font>
      <b/>
      <sz val="12"/>
      <color indexed="13"/>
      <name val="Arial"/>
      <family val="2"/>
    </font>
    <font>
      <b/>
      <sz val="10"/>
      <color indexed="13"/>
      <name val="Arial"/>
      <family val="2"/>
    </font>
    <font>
      <u/>
      <sz val="12"/>
      <color indexed="12"/>
      <name val="Arial"/>
      <family val="2"/>
    </font>
    <font>
      <b/>
      <sz val="14"/>
      <color indexed="9"/>
      <name val="Arial"/>
      <family val="2"/>
    </font>
    <font>
      <sz val="14"/>
      <color indexed="10"/>
      <name val="Arial"/>
      <family val="2"/>
    </font>
    <font>
      <b/>
      <sz val="10"/>
      <color indexed="30"/>
      <name val="Times New Roman"/>
      <family val="1"/>
    </font>
    <font>
      <sz val="12"/>
      <name val="Arial"/>
      <family val="2"/>
    </font>
    <font>
      <b/>
      <sz val="10"/>
      <color rgb="FFFF0000"/>
      <name val="Times New Roman"/>
      <family val="1"/>
    </font>
    <font>
      <b/>
      <sz val="10"/>
      <color rgb="FF0070C0"/>
      <name val="Times New Roman"/>
      <family val="1"/>
    </font>
    <font>
      <sz val="10"/>
      <color theme="1"/>
      <name val="Times New Roman"/>
      <family val="1"/>
    </font>
    <font>
      <b/>
      <sz val="14"/>
      <color rgb="FF00B050"/>
      <name val="Arial"/>
      <family val="2"/>
    </font>
    <font>
      <b/>
      <sz val="10"/>
      <color theme="4"/>
      <name val="Arial"/>
      <family val="2"/>
    </font>
    <font>
      <b/>
      <sz val="16"/>
      <color rgb="FF00B050"/>
      <name val="Arial"/>
      <family val="2"/>
    </font>
    <font>
      <b/>
      <sz val="12"/>
      <color theme="0"/>
      <name val="Arial"/>
      <family val="2"/>
    </font>
    <font>
      <b/>
      <sz val="10"/>
      <color rgb="FF00B050"/>
      <name val="Arial"/>
      <family val="2"/>
    </font>
    <font>
      <sz val="10"/>
      <color rgb="FF0070C0"/>
      <name val="Arial"/>
      <family val="2"/>
    </font>
    <font>
      <b/>
      <sz val="12"/>
      <color rgb="FF00B050"/>
      <name val="Times New Roman"/>
      <family val="1"/>
    </font>
    <font>
      <u/>
      <sz val="12"/>
      <name val="Times New Roman"/>
      <family val="1"/>
    </font>
    <font>
      <sz val="12"/>
      <name val="Calibri"/>
      <family val="2"/>
    </font>
    <font>
      <b/>
      <sz val="12"/>
      <name val="Times"/>
      <family val="1"/>
    </font>
    <font>
      <sz val="10"/>
      <name val="Times"/>
      <family val="1"/>
    </font>
    <font>
      <b/>
      <sz val="10"/>
      <name val="Times"/>
      <family val="1"/>
    </font>
    <font>
      <b/>
      <sz val="18"/>
      <name val="Times"/>
      <family val="1"/>
    </font>
    <font>
      <sz val="12"/>
      <name val="Times"/>
      <family val="1"/>
    </font>
    <font>
      <b/>
      <sz val="11"/>
      <name val="Times"/>
      <family val="1"/>
    </font>
    <font>
      <b/>
      <u/>
      <sz val="14"/>
      <name val="Times"/>
      <family val="1"/>
    </font>
    <font>
      <sz val="11"/>
      <name val="Times"/>
      <family val="1"/>
    </font>
    <font>
      <b/>
      <sz val="16"/>
      <color theme="0"/>
      <name val="Arial"/>
      <family val="2"/>
    </font>
    <font>
      <b/>
      <sz val="10"/>
      <color theme="0"/>
      <name val="Arial"/>
      <family val="2"/>
    </font>
    <font>
      <sz val="10"/>
      <color theme="0"/>
      <name val="Arial"/>
      <family val="2"/>
    </font>
    <font>
      <sz val="12"/>
      <color theme="0"/>
      <name val="Arial"/>
      <family val="2"/>
    </font>
    <font>
      <b/>
      <sz val="14"/>
      <color theme="0"/>
      <name val="Arial"/>
      <family val="2"/>
    </font>
    <font>
      <b/>
      <sz val="14"/>
      <name val="Times"/>
      <family val="1"/>
    </font>
    <font>
      <sz val="16"/>
      <name val="Times"/>
      <family val="1"/>
    </font>
    <font>
      <b/>
      <sz val="12"/>
      <color rgb="FF0070C0"/>
      <name val="Arial"/>
      <family val="2"/>
    </font>
    <font>
      <b/>
      <sz val="10"/>
      <color rgb="FF0070C0"/>
      <name val="Arial"/>
      <family val="2"/>
    </font>
    <font>
      <b/>
      <sz val="12"/>
      <color rgb="FF00B050"/>
      <name val="Arial"/>
      <family val="2"/>
    </font>
    <font>
      <b/>
      <sz val="11.5"/>
      <name val="Arial"/>
      <family val="2"/>
    </font>
    <font>
      <sz val="10"/>
      <name val="Arial"/>
      <family val="2"/>
    </font>
    <font>
      <sz val="10"/>
      <color rgb="FFFF0000"/>
      <name val="Times New Roman"/>
      <family val="1"/>
    </font>
    <font>
      <b/>
      <sz val="12"/>
      <color rgb="FFFF0000"/>
      <name val="Times New Roman"/>
      <family val="1"/>
    </font>
    <font>
      <sz val="10"/>
      <color rgb="FFFF0000"/>
      <name val="Arial"/>
      <family val="2"/>
    </font>
    <font>
      <b/>
      <sz val="12"/>
      <color rgb="FFFF0000"/>
      <name val="Arial"/>
      <family val="2"/>
    </font>
    <font>
      <sz val="12"/>
      <color rgb="FFFF0000"/>
      <name val="Arial"/>
      <family val="2"/>
    </font>
    <font>
      <b/>
      <sz val="16"/>
      <color rgb="FFFF0000"/>
      <name val="Arial"/>
      <family val="2"/>
    </font>
    <font>
      <b/>
      <sz val="10"/>
      <color rgb="FFFF0000"/>
      <name val="Arial"/>
      <family val="2"/>
    </font>
    <font>
      <b/>
      <sz val="16"/>
      <color rgb="FFFF0000"/>
      <name val="Times New Roman"/>
      <family val="1"/>
    </font>
    <font>
      <sz val="16"/>
      <color rgb="FFFF0000"/>
      <name val="Times New Roman"/>
      <family val="1"/>
    </font>
    <font>
      <b/>
      <u/>
      <sz val="12"/>
      <color rgb="FFFF0000"/>
      <name val="Times New Roman"/>
      <family val="1"/>
    </font>
    <font>
      <b/>
      <u/>
      <sz val="10"/>
      <color rgb="FFFF0000"/>
      <name val="Times New Roman"/>
      <family val="1"/>
    </font>
    <font>
      <b/>
      <sz val="12"/>
      <name val="Times"/>
    </font>
    <font>
      <b/>
      <i/>
      <sz val="16"/>
      <color rgb="FFFF0000"/>
      <name val="Arial"/>
      <family val="2"/>
    </font>
    <font>
      <b/>
      <i/>
      <sz val="8"/>
      <color rgb="FFFF0000"/>
      <name val="Arial"/>
      <family val="2"/>
    </font>
    <font>
      <b/>
      <sz val="8"/>
      <color rgb="FFFF0000"/>
      <name val="Arial"/>
      <family val="2"/>
    </font>
    <font>
      <b/>
      <u/>
      <sz val="10"/>
      <color rgb="FFFF0000"/>
      <name val="Arial"/>
      <family val="2"/>
    </font>
    <font>
      <b/>
      <u/>
      <sz val="12"/>
      <color rgb="FFFF0000"/>
      <name val="Arial"/>
      <family val="2"/>
    </font>
    <font>
      <strike/>
      <sz val="10"/>
      <color rgb="FFFF0000"/>
      <name val="Arial"/>
      <family val="2"/>
    </font>
    <font>
      <b/>
      <sz val="14"/>
      <color rgb="FFFF0000"/>
      <name val="Arial"/>
      <family val="2"/>
    </font>
    <font>
      <b/>
      <sz val="11"/>
      <color rgb="FFFF0000"/>
      <name val="Arial"/>
      <family val="2"/>
    </font>
    <font>
      <b/>
      <sz val="16"/>
      <color rgb="FFFF0066"/>
      <name val="Times New Roman"/>
      <family val="1"/>
    </font>
    <font>
      <b/>
      <sz val="10"/>
      <color rgb="FFFF0066"/>
      <name val="Times New Roman"/>
      <family val="1"/>
    </font>
    <font>
      <b/>
      <u/>
      <sz val="10"/>
      <color rgb="FFFF0066"/>
      <name val="Times New Roman"/>
      <family val="1"/>
    </font>
    <font>
      <sz val="10"/>
      <color rgb="FFFF0066"/>
      <name val="Times New Roman"/>
      <family val="1"/>
    </font>
    <font>
      <b/>
      <sz val="14"/>
      <color rgb="FFFF0066"/>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8"/>
        <bgColor indexed="64"/>
      </patternFill>
    </fill>
    <fill>
      <patternFill patternType="solid">
        <fgColor theme="4"/>
        <bgColor indexed="64"/>
      </patternFill>
    </fill>
    <fill>
      <patternFill patternType="solid">
        <fgColor theme="0" tint="-0.249977111117893"/>
        <bgColor indexed="64"/>
      </patternFill>
    </fill>
    <fill>
      <patternFill patternType="solid">
        <fgColor rgb="FF00206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FF00"/>
        <bgColor indexed="64"/>
      </patternFill>
    </fill>
  </fills>
  <borders count="4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9" fontId="70" fillId="0" borderId="0" applyFont="0" applyFill="0" applyBorder="0" applyAlignment="0" applyProtection="0"/>
  </cellStyleXfs>
  <cellXfs count="529">
    <xf numFmtId="0" fontId="0" fillId="0" borderId="0" xfId="0"/>
    <xf numFmtId="0" fontId="7" fillId="0" borderId="0" xfId="0" applyFont="1"/>
    <xf numFmtId="1" fontId="3" fillId="0" borderId="0" xfId="1" applyNumberFormat="1" applyFont="1" applyAlignment="1">
      <alignment horizontal="center"/>
    </xf>
    <xf numFmtId="43" fontId="3" fillId="0" borderId="0" xfId="1" applyFont="1" applyAlignment="1">
      <alignment horizontal="center"/>
    </xf>
    <xf numFmtId="0" fontId="3" fillId="0" borderId="0" xfId="0" applyFont="1" applyAlignment="1">
      <alignment horizontal="center"/>
    </xf>
    <xf numFmtId="1" fontId="2" fillId="0" borderId="0" xfId="1" applyNumberFormat="1" applyFont="1" applyAlignment="1">
      <alignment horizontal="center"/>
    </xf>
    <xf numFmtId="43" fontId="4" fillId="0" borderId="0" xfId="1" applyFont="1" applyAlignment="1">
      <alignment horizontal="right"/>
    </xf>
    <xf numFmtId="43" fontId="2" fillId="0" borderId="0" xfId="1" applyFont="1" applyAlignment="1">
      <alignment horizontal="center"/>
    </xf>
    <xf numFmtId="0" fontId="2" fillId="0" borderId="0" xfId="0" applyFont="1" applyAlignment="1">
      <alignment horizontal="center"/>
    </xf>
    <xf numFmtId="43" fontId="0" fillId="0" borderId="0" xfId="1" applyFont="1" applyAlignment="1">
      <alignment horizontal="right"/>
    </xf>
    <xf numFmtId="43" fontId="2" fillId="0" borderId="0" xfId="1" applyFont="1" applyAlignment="1">
      <alignment horizontal="right"/>
    </xf>
    <xf numFmtId="168" fontId="12" fillId="0" borderId="0" xfId="1" applyNumberFormat="1" applyFont="1" applyAlignment="1">
      <alignment horizontal="right"/>
    </xf>
    <xf numFmtId="1" fontId="0" fillId="0" borderId="0" xfId="1" applyNumberFormat="1" applyFont="1" applyAlignment="1">
      <alignment horizontal="center"/>
    </xf>
    <xf numFmtId="43" fontId="0" fillId="0" borderId="0" xfId="1" applyFont="1"/>
    <xf numFmtId="43" fontId="0" fillId="0" borderId="0" xfId="1" applyFont="1" applyAlignment="1">
      <alignment horizontal="center"/>
    </xf>
    <xf numFmtId="0" fontId="0" fillId="0" borderId="0" xfId="0" applyAlignment="1">
      <alignment horizontal="center"/>
    </xf>
    <xf numFmtId="1" fontId="0" fillId="2" borderId="1" xfId="1" applyNumberFormat="1" applyFont="1" applyFill="1" applyBorder="1" applyAlignment="1">
      <alignment horizontal="center"/>
    </xf>
    <xf numFmtId="43" fontId="0" fillId="2" borderId="0" xfId="1" applyFont="1" applyFill="1"/>
    <xf numFmtId="43" fontId="0" fillId="2" borderId="0" xfId="1" applyFont="1" applyFill="1" applyAlignment="1">
      <alignment horizontal="center"/>
    </xf>
    <xf numFmtId="0" fontId="0" fillId="2" borderId="2" xfId="0" applyFill="1" applyBorder="1" applyAlignment="1">
      <alignment horizontal="center"/>
    </xf>
    <xf numFmtId="43" fontId="7" fillId="2" borderId="0" xfId="1" applyFont="1" applyFill="1" applyAlignment="1">
      <alignment horizontal="center"/>
    </xf>
    <xf numFmtId="0" fontId="7" fillId="2" borderId="2" xfId="0" applyFont="1" applyFill="1" applyBorder="1" applyAlignment="1">
      <alignment horizontal="center"/>
    </xf>
    <xf numFmtId="164" fontId="10" fillId="0" borderId="0" xfId="1" applyNumberFormat="1" applyFont="1" applyAlignment="1">
      <alignment horizontal="center"/>
    </xf>
    <xf numFmtId="3" fontId="0" fillId="0" borderId="0" xfId="0" applyNumberFormat="1" applyAlignment="1">
      <alignment horizontal="center"/>
    </xf>
    <xf numFmtId="164" fontId="0" fillId="2" borderId="4" xfId="1" applyNumberFormat="1" applyFont="1" applyFill="1" applyBorder="1" applyAlignment="1">
      <alignment horizontal="center"/>
    </xf>
    <xf numFmtId="3" fontId="0" fillId="2" borderId="5" xfId="0" applyNumberFormat="1" applyFill="1" applyBorder="1" applyAlignment="1">
      <alignment horizontal="center"/>
    </xf>
    <xf numFmtId="164" fontId="0" fillId="0" borderId="0" xfId="1" applyNumberFormat="1" applyFont="1" applyAlignment="1">
      <alignment horizontal="center"/>
    </xf>
    <xf numFmtId="3" fontId="0" fillId="0" borderId="0" xfId="1" applyNumberFormat="1" applyFont="1" applyAlignment="1">
      <alignment horizontal="center"/>
    </xf>
    <xf numFmtId="0" fontId="14" fillId="0" borderId="0" xfId="0" applyFont="1" applyAlignment="1">
      <alignment horizontal="center"/>
    </xf>
    <xf numFmtId="0" fontId="14" fillId="0" borderId="3" xfId="0" applyFont="1" applyBorder="1" applyAlignment="1">
      <alignment horizontal="center"/>
    </xf>
    <xf numFmtId="167" fontId="7" fillId="0" borderId="0" xfId="0" applyNumberFormat="1" applyFont="1" applyAlignment="1">
      <alignment horizontal="center"/>
    </xf>
    <xf numFmtId="167" fontId="17" fillId="0" borderId="0" xfId="0" applyNumberFormat="1" applyFont="1" applyAlignment="1">
      <alignment horizontal="center"/>
    </xf>
    <xf numFmtId="167" fontId="17" fillId="0" borderId="3" xfId="0" applyNumberFormat="1" applyFont="1" applyBorder="1" applyAlignment="1">
      <alignment horizontal="center"/>
    </xf>
    <xf numFmtId="1" fontId="0" fillId="0" borderId="0" xfId="0" applyNumberFormat="1" applyAlignment="1">
      <alignment horizontal="center"/>
    </xf>
    <xf numFmtId="0" fontId="0" fillId="0" borderId="0" xfId="0" applyAlignment="1" applyProtection="1">
      <alignment horizontal="center"/>
      <protection locked="0"/>
    </xf>
    <xf numFmtId="0" fontId="0" fillId="0" borderId="0" xfId="0" applyProtection="1">
      <protection hidden="1"/>
    </xf>
    <xf numFmtId="0" fontId="2" fillId="0" borderId="0" xfId="0" applyFont="1" applyAlignment="1" applyProtection="1">
      <alignment horizontal="center"/>
      <protection hidden="1"/>
    </xf>
    <xf numFmtId="0" fontId="21" fillId="0" borderId="0" xfId="0" applyFont="1" applyAlignment="1" applyProtection="1">
      <alignment horizontal="left"/>
      <protection hidden="1"/>
    </xf>
    <xf numFmtId="0" fontId="22" fillId="0" borderId="0" xfId="0" applyFont="1" applyProtection="1">
      <protection hidden="1"/>
    </xf>
    <xf numFmtId="0" fontId="23" fillId="0" borderId="0" xfId="0" applyFont="1" applyProtection="1">
      <protection hidden="1"/>
    </xf>
    <xf numFmtId="0" fontId="24" fillId="0" borderId="7" xfId="0" applyFont="1" applyBorder="1" applyAlignment="1" applyProtection="1">
      <alignment horizontal="center" vertical="top" wrapText="1"/>
      <protection hidden="1"/>
    </xf>
    <xf numFmtId="0" fontId="16" fillId="0" borderId="0" xfId="0" applyFont="1" applyProtection="1">
      <protection hidden="1"/>
    </xf>
    <xf numFmtId="0" fontId="16" fillId="0" borderId="0" xfId="0" applyFont="1"/>
    <xf numFmtId="171" fontId="16" fillId="0" borderId="7" xfId="0" applyNumberFormat="1" applyFont="1" applyBorder="1" applyAlignment="1" applyProtection="1">
      <alignment horizontal="center"/>
      <protection hidden="1"/>
    </xf>
    <xf numFmtId="0" fontId="9" fillId="0" borderId="7" xfId="0" applyFont="1" applyBorder="1" applyAlignment="1" applyProtection="1">
      <alignment horizontal="center"/>
      <protection hidden="1"/>
    </xf>
    <xf numFmtId="170" fontId="9" fillId="0" borderId="7" xfId="0" applyNumberFormat="1" applyFont="1" applyBorder="1" applyAlignment="1" applyProtection="1">
      <alignment horizontal="center"/>
      <protection hidden="1"/>
    </xf>
    <xf numFmtId="0" fontId="9" fillId="0" borderId="0" xfId="0" applyFont="1" applyProtection="1">
      <protection hidden="1"/>
    </xf>
    <xf numFmtId="0" fontId="9" fillId="0" borderId="0" xfId="0" applyFont="1"/>
    <xf numFmtId="167" fontId="9" fillId="0" borderId="7" xfId="0" applyNumberFormat="1" applyFont="1" applyBorder="1" applyAlignment="1" applyProtection="1">
      <alignment horizontal="center"/>
      <protection hidden="1"/>
    </xf>
    <xf numFmtId="0" fontId="24" fillId="0" borderId="0" xfId="0" applyFont="1" applyProtection="1">
      <protection hidden="1"/>
    </xf>
    <xf numFmtId="0" fontId="24" fillId="0" borderId="0" xfId="0" applyFont="1"/>
    <xf numFmtId="0" fontId="4" fillId="0" borderId="0" xfId="0" applyFont="1"/>
    <xf numFmtId="49" fontId="2" fillId="0" borderId="0" xfId="0" applyNumberFormat="1" applyFont="1" applyAlignment="1" applyProtection="1">
      <alignment horizontal="center"/>
      <protection hidden="1"/>
    </xf>
    <xf numFmtId="0" fontId="25" fillId="0" borderId="0" xfId="0" applyFont="1" applyProtection="1">
      <protection hidden="1"/>
    </xf>
    <xf numFmtId="0" fontId="7" fillId="0" borderId="0" xfId="0" applyFont="1" applyProtection="1">
      <protection hidden="1"/>
    </xf>
    <xf numFmtId="0" fontId="25" fillId="0" borderId="0" xfId="0" applyFont="1"/>
    <xf numFmtId="43" fontId="21" fillId="0" borderId="0" xfId="0" applyNumberFormat="1" applyFont="1" applyAlignment="1" applyProtection="1">
      <alignment horizontal="left"/>
      <protection hidden="1"/>
    </xf>
    <xf numFmtId="1" fontId="0" fillId="2" borderId="0" xfId="1" applyNumberFormat="1" applyFont="1" applyFill="1" applyAlignment="1">
      <alignment horizontal="center"/>
    </xf>
    <xf numFmtId="1" fontId="7" fillId="0" borderId="0" xfId="1" applyNumberFormat="1" applyFont="1" applyAlignment="1">
      <alignment horizontal="center"/>
    </xf>
    <xf numFmtId="0" fontId="0" fillId="0" borderId="0" xfId="0" applyAlignment="1">
      <alignment vertical="center" wrapText="1"/>
    </xf>
    <xf numFmtId="0" fontId="14" fillId="0" borderId="0" xfId="0" applyFont="1"/>
    <xf numFmtId="0" fontId="14" fillId="0" borderId="0" xfId="0" applyFont="1" applyAlignment="1">
      <alignment vertical="center"/>
    </xf>
    <xf numFmtId="0" fontId="0" fillId="0" borderId="0" xfId="0" applyAlignment="1">
      <alignment vertical="center"/>
    </xf>
    <xf numFmtId="43" fontId="0" fillId="0" borderId="0" xfId="1" applyFont="1" applyAlignment="1">
      <alignment horizontal="left" indent="11"/>
    </xf>
    <xf numFmtId="170" fontId="0" fillId="0" borderId="0" xfId="0" applyNumberFormat="1" applyAlignment="1">
      <alignment horizontal="center"/>
    </xf>
    <xf numFmtId="167" fontId="0" fillId="0" borderId="0" xfId="1" applyNumberFormat="1" applyFont="1" applyAlignment="1">
      <alignment horizontal="center"/>
    </xf>
    <xf numFmtId="43" fontId="0" fillId="0" borderId="9" xfId="1" applyFont="1" applyBorder="1" applyAlignment="1">
      <alignment horizontal="left" indent="11"/>
    </xf>
    <xf numFmtId="167" fontId="0" fillId="0" borderId="9" xfId="1" applyNumberFormat="1" applyFont="1" applyBorder="1" applyAlignment="1">
      <alignment horizontal="center"/>
    </xf>
    <xf numFmtId="43" fontId="2" fillId="0" borderId="10" xfId="1" applyFont="1" applyBorder="1" applyAlignment="1">
      <alignment horizontal="left" indent="11"/>
    </xf>
    <xf numFmtId="167" fontId="2" fillId="0" borderId="10" xfId="1" applyNumberFormat="1" applyFont="1" applyBorder="1" applyAlignment="1">
      <alignment horizontal="center"/>
    </xf>
    <xf numFmtId="0" fontId="28" fillId="0" borderId="0" xfId="0" applyFont="1"/>
    <xf numFmtId="0" fontId="22" fillId="0" borderId="0" xfId="0" applyFont="1"/>
    <xf numFmtId="0" fontId="30" fillId="0" borderId="0" xfId="0" applyFont="1"/>
    <xf numFmtId="0" fontId="22" fillId="0" borderId="0" xfId="0" applyFont="1" applyAlignment="1">
      <alignment horizontal="left" indent="5"/>
    </xf>
    <xf numFmtId="0" fontId="28" fillId="0" borderId="0" xfId="0" applyFont="1" applyAlignment="1">
      <alignment horizontal="left" indent="5"/>
    </xf>
    <xf numFmtId="49" fontId="29" fillId="0" borderId="0" xfId="0" applyNumberFormat="1" applyFont="1" applyAlignment="1" applyProtection="1">
      <alignment horizontal="center"/>
      <protection hidden="1"/>
    </xf>
    <xf numFmtId="0" fontId="29" fillId="0" borderId="0" xfId="0" applyFont="1" applyAlignment="1" applyProtection="1">
      <alignment horizontal="center"/>
      <protection hidden="1"/>
    </xf>
    <xf numFmtId="170" fontId="31" fillId="0" borderId="0" xfId="0" applyNumberFormat="1" applyFont="1"/>
    <xf numFmtId="0" fontId="2" fillId="0" borderId="0" xfId="0" applyFont="1"/>
    <xf numFmtId="43" fontId="11" fillId="3" borderId="0" xfId="1" applyFont="1" applyFill="1" applyAlignment="1" applyProtection="1">
      <alignment horizontal="center"/>
      <protection locked="0"/>
    </xf>
    <xf numFmtId="49" fontId="19" fillId="3" borderId="0" xfId="0" applyNumberFormat="1" applyFont="1" applyFill="1" applyAlignment="1" applyProtection="1">
      <alignment horizontal="center"/>
      <protection locked="0"/>
    </xf>
    <xf numFmtId="49" fontId="19" fillId="3" borderId="0" xfId="1" applyNumberFormat="1" applyFont="1" applyFill="1" applyAlignment="1" applyProtection="1">
      <alignment horizontal="center"/>
      <protection locked="0"/>
    </xf>
    <xf numFmtId="49" fontId="34" fillId="3" borderId="0" xfId="2" applyNumberFormat="1" applyFont="1" applyFill="1" applyAlignment="1">
      <alignment horizontal="center"/>
      <protection locked="0"/>
    </xf>
    <xf numFmtId="43" fontId="12" fillId="0" borderId="0" xfId="1" applyFont="1" applyAlignment="1">
      <alignment horizontal="right"/>
    </xf>
    <xf numFmtId="0" fontId="2" fillId="0" borderId="14" xfId="0" applyFont="1" applyBorder="1" applyAlignment="1">
      <alignment horizontal="center"/>
    </xf>
    <xf numFmtId="0" fontId="2" fillId="0" borderId="15" xfId="0" applyFont="1" applyBorder="1" applyAlignment="1">
      <alignment horizontal="center"/>
    </xf>
    <xf numFmtId="0" fontId="20"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8" fillId="0" borderId="2" xfId="0" applyFont="1" applyBorder="1" applyAlignment="1">
      <alignment horizontal="center"/>
    </xf>
    <xf numFmtId="0" fontId="0" fillId="0" borderId="1" xfId="0" applyBorder="1"/>
    <xf numFmtId="0" fontId="18" fillId="0" borderId="2" xfId="0" applyFont="1" applyBorder="1"/>
    <xf numFmtId="0" fontId="0" fillId="2" borderId="0" xfId="0" applyFill="1" applyAlignment="1">
      <alignment horizontal="center"/>
    </xf>
    <xf numFmtId="0" fontId="0" fillId="0" borderId="2" xfId="0" applyBorder="1"/>
    <xf numFmtId="0" fontId="18" fillId="0" borderId="3" xfId="0" applyFont="1" applyBorder="1"/>
    <xf numFmtId="0" fontId="18" fillId="0" borderId="5" xfId="0" applyFont="1" applyBorder="1"/>
    <xf numFmtId="0" fontId="18" fillId="0" borderId="0" xfId="0" applyFont="1"/>
    <xf numFmtId="0" fontId="3" fillId="0" borderId="0" xfId="0" applyFont="1"/>
    <xf numFmtId="0" fontId="2" fillId="0" borderId="0" xfId="0" applyFont="1" applyAlignment="1">
      <alignment horizontal="right"/>
    </xf>
    <xf numFmtId="0" fontId="9" fillId="0" borderId="0" xfId="0" applyFont="1" applyAlignment="1">
      <alignment horizontal="center"/>
    </xf>
    <xf numFmtId="0" fontId="13" fillId="0" borderId="0" xfId="0" applyFont="1" applyAlignment="1">
      <alignment horizontal="center"/>
    </xf>
    <xf numFmtId="1" fontId="14" fillId="0" borderId="0" xfId="1" applyNumberFormat="1" applyFont="1" applyAlignment="1">
      <alignment horizontal="center"/>
    </xf>
    <xf numFmtId="170" fontId="31" fillId="0" borderId="0" xfId="1" applyNumberFormat="1" applyFont="1" applyAlignment="1">
      <alignment horizontal="right"/>
    </xf>
    <xf numFmtId="167" fontId="4" fillId="0" borderId="0" xfId="1" applyNumberFormat="1" applyFont="1" applyAlignment="1">
      <alignment horizontal="center"/>
    </xf>
    <xf numFmtId="165" fontId="22" fillId="0" borderId="0" xfId="0" applyNumberFormat="1" applyFont="1" applyProtection="1">
      <protection hidden="1"/>
    </xf>
    <xf numFmtId="165" fontId="25" fillId="0" borderId="0" xfId="0" applyNumberFormat="1" applyFont="1" applyProtection="1">
      <protection hidden="1"/>
    </xf>
    <xf numFmtId="0" fontId="39" fillId="0" borderId="0" xfId="0" applyFont="1"/>
    <xf numFmtId="0" fontId="36" fillId="0" borderId="0" xfId="0" applyFont="1"/>
    <xf numFmtId="0" fontId="40" fillId="0" borderId="0" xfId="0" applyFont="1"/>
    <xf numFmtId="0" fontId="40" fillId="0" borderId="0" xfId="0" applyFont="1" applyAlignment="1">
      <alignment horizontal="left"/>
    </xf>
    <xf numFmtId="0" fontId="41" fillId="0" borderId="0" xfId="0" applyFont="1" applyAlignment="1">
      <alignment horizontal="left" indent="5"/>
    </xf>
    <xf numFmtId="43" fontId="44" fillId="0" borderId="0" xfId="1" applyFont="1" applyAlignment="1">
      <alignment horizontal="right"/>
    </xf>
    <xf numFmtId="1" fontId="8" fillId="5" borderId="16" xfId="1" applyNumberFormat="1" applyFont="1" applyFill="1" applyBorder="1" applyAlignment="1">
      <alignment horizontal="center"/>
    </xf>
    <xf numFmtId="1" fontId="8" fillId="5" borderId="17" xfId="1" applyNumberFormat="1" applyFont="1" applyFill="1" applyBorder="1" applyAlignment="1">
      <alignment horizontal="center"/>
    </xf>
    <xf numFmtId="43" fontId="27" fillId="3" borderId="17" xfId="1" applyFont="1" applyFill="1" applyBorder="1" applyAlignment="1">
      <alignment horizontal="center"/>
    </xf>
    <xf numFmtId="43" fontId="0" fillId="3" borderId="17" xfId="1" applyFont="1" applyFill="1" applyBorder="1" applyAlignment="1">
      <alignment horizontal="center"/>
    </xf>
    <xf numFmtId="0" fontId="0" fillId="5" borderId="12" xfId="0" applyFill="1" applyBorder="1" applyAlignment="1">
      <alignment horizontal="center"/>
    </xf>
    <xf numFmtId="1" fontId="38" fillId="0" borderId="1" xfId="1" applyNumberFormat="1" applyFont="1" applyBorder="1" applyAlignment="1">
      <alignment horizontal="center"/>
    </xf>
    <xf numFmtId="1" fontId="38" fillId="0" borderId="1" xfId="0" applyNumberFormat="1" applyFont="1" applyBorder="1" applyAlignment="1">
      <alignment horizontal="center"/>
    </xf>
    <xf numFmtId="1" fontId="32" fillId="5" borderId="17" xfId="1" applyNumberFormat="1" applyFont="1" applyFill="1" applyBorder="1" applyAlignment="1">
      <alignment horizontal="left"/>
    </xf>
    <xf numFmtId="43" fontId="8" fillId="5" borderId="17" xfId="1" applyFont="1" applyFill="1" applyBorder="1" applyAlignment="1">
      <alignment horizontal="center"/>
    </xf>
    <xf numFmtId="164" fontId="8" fillId="5" borderId="17" xfId="1" applyNumberFormat="1" applyFont="1" applyFill="1" applyBorder="1" applyAlignment="1">
      <alignment horizontal="center"/>
    </xf>
    <xf numFmtId="3" fontId="8" fillId="5" borderId="12" xfId="0" applyNumberFormat="1" applyFont="1" applyFill="1" applyBorder="1" applyAlignment="1">
      <alignment horizontal="center"/>
    </xf>
    <xf numFmtId="177" fontId="1" fillId="0" borderId="11" xfId="1" applyNumberFormat="1" applyBorder="1" applyAlignment="1">
      <alignment horizontal="center"/>
    </xf>
    <xf numFmtId="177" fontId="1" fillId="0" borderId="0" xfId="1" applyNumberFormat="1" applyAlignment="1">
      <alignment horizontal="center"/>
    </xf>
    <xf numFmtId="1" fontId="8" fillId="5" borderId="13" xfId="1" applyNumberFormat="1" applyFont="1" applyFill="1" applyBorder="1" applyAlignment="1">
      <alignment horizontal="center"/>
    </xf>
    <xf numFmtId="43" fontId="8" fillId="5" borderId="14" xfId="1" applyFont="1" applyFill="1" applyBorder="1" applyAlignment="1">
      <alignment horizontal="left"/>
    </xf>
    <xf numFmtId="164" fontId="45" fillId="5" borderId="14" xfId="1" applyNumberFormat="1" applyFont="1" applyFill="1" applyBorder="1" applyAlignment="1">
      <alignment horizontal="center"/>
    </xf>
    <xf numFmtId="3" fontId="8" fillId="5" borderId="15" xfId="0" applyNumberFormat="1" applyFont="1" applyFill="1" applyBorder="1" applyAlignment="1">
      <alignment horizontal="center"/>
    </xf>
    <xf numFmtId="1" fontId="8" fillId="5" borderId="6" xfId="1" applyNumberFormat="1" applyFont="1" applyFill="1" applyBorder="1" applyAlignment="1">
      <alignment horizontal="center"/>
    </xf>
    <xf numFmtId="43" fontId="8" fillId="5" borderId="3" xfId="1" applyFont="1" applyFill="1" applyBorder="1" applyAlignment="1">
      <alignment horizontal="left"/>
    </xf>
    <xf numFmtId="164" fontId="8" fillId="5" borderId="3" xfId="1" applyNumberFormat="1" applyFont="1" applyFill="1" applyBorder="1" applyAlignment="1">
      <alignment horizontal="center"/>
    </xf>
    <xf numFmtId="3" fontId="33" fillId="5" borderId="5" xfId="0" applyNumberFormat="1" applyFont="1" applyFill="1" applyBorder="1" applyAlignment="1">
      <alignment horizontal="center"/>
    </xf>
    <xf numFmtId="164" fontId="33" fillId="5" borderId="9" xfId="1" applyNumberFormat="1" applyFont="1" applyFill="1" applyBorder="1" applyAlignment="1">
      <alignment horizontal="center"/>
    </xf>
    <xf numFmtId="3" fontId="33" fillId="5" borderId="2" xfId="0" applyNumberFormat="1" applyFont="1" applyFill="1" applyBorder="1" applyAlignment="1">
      <alignment horizontal="center"/>
    </xf>
    <xf numFmtId="177" fontId="10" fillId="3" borderId="18" xfId="1" applyNumberFormat="1" applyFont="1" applyFill="1" applyBorder="1" applyAlignment="1" applyProtection="1">
      <alignment horizontal="center"/>
      <protection locked="0"/>
    </xf>
    <xf numFmtId="1" fontId="0" fillId="2" borderId="6" xfId="1" applyNumberFormat="1" applyFont="1" applyFill="1" applyBorder="1" applyAlignment="1">
      <alignment horizontal="center"/>
    </xf>
    <xf numFmtId="1" fontId="0" fillId="2" borderId="3" xfId="1" applyNumberFormat="1" applyFont="1" applyFill="1" applyBorder="1" applyAlignment="1">
      <alignment horizontal="center"/>
    </xf>
    <xf numFmtId="43" fontId="0" fillId="0" borderId="3" xfId="1" applyFont="1" applyBorder="1"/>
    <xf numFmtId="1" fontId="7" fillId="0" borderId="0" xfId="0" applyNumberFormat="1" applyFont="1" applyAlignment="1">
      <alignment horizontal="center"/>
    </xf>
    <xf numFmtId="177" fontId="1" fillId="0" borderId="3" xfId="1" applyNumberFormat="1" applyBorder="1" applyAlignment="1">
      <alignment horizontal="center"/>
    </xf>
    <xf numFmtId="1" fontId="8" fillId="5" borderId="14" xfId="1" applyNumberFormat="1" applyFont="1" applyFill="1" applyBorder="1" applyAlignment="1">
      <alignment horizontal="center"/>
    </xf>
    <xf numFmtId="43" fontId="8" fillId="5" borderId="14" xfId="1" applyFont="1" applyFill="1" applyBorder="1" applyAlignment="1">
      <alignment horizontal="center"/>
    </xf>
    <xf numFmtId="3" fontId="8" fillId="5" borderId="14" xfId="1" applyNumberFormat="1" applyFont="1" applyFill="1" applyBorder="1" applyAlignment="1">
      <alignment horizontal="center"/>
    </xf>
    <xf numFmtId="1" fontId="3" fillId="6" borderId="1" xfId="1" applyNumberFormat="1" applyFont="1" applyFill="1" applyBorder="1" applyAlignment="1">
      <alignment horizontal="center"/>
    </xf>
    <xf numFmtId="1" fontId="3" fillId="6" borderId="0" xfId="1" applyNumberFormat="1" applyFont="1" applyFill="1" applyAlignment="1">
      <alignment horizontal="center"/>
    </xf>
    <xf numFmtId="1" fontId="12" fillId="6" borderId="1" xfId="1" applyNumberFormat="1" applyFont="1" applyFill="1" applyBorder="1" applyAlignment="1">
      <alignment horizontal="center"/>
    </xf>
    <xf numFmtId="1" fontId="12" fillId="6" borderId="0" xfId="1" applyNumberFormat="1" applyFont="1" applyFill="1" applyAlignment="1">
      <alignment horizontal="center"/>
    </xf>
    <xf numFmtId="1" fontId="2" fillId="6" borderId="1" xfId="1" applyNumberFormat="1" applyFont="1" applyFill="1" applyBorder="1" applyAlignment="1">
      <alignment horizontal="center"/>
    </xf>
    <xf numFmtId="1" fontId="2" fillId="6" borderId="0" xfId="1" applyNumberFormat="1" applyFont="1" applyFill="1" applyAlignment="1">
      <alignment horizontal="center"/>
    </xf>
    <xf numFmtId="1" fontId="4" fillId="6" borderId="1" xfId="1" applyNumberFormat="1" applyFont="1" applyFill="1" applyBorder="1" applyAlignment="1">
      <alignment horizontal="center"/>
    </xf>
    <xf numFmtId="1" fontId="0" fillId="6" borderId="1" xfId="0" applyNumberFormat="1" applyFill="1" applyBorder="1" applyAlignment="1">
      <alignment horizontal="center"/>
    </xf>
    <xf numFmtId="1" fontId="0" fillId="6" borderId="0" xfId="0" applyNumberFormat="1" applyFill="1" applyAlignment="1">
      <alignment horizontal="center"/>
    </xf>
    <xf numFmtId="1" fontId="12" fillId="6" borderId="6" xfId="1" applyNumberFormat="1" applyFont="1" applyFill="1" applyBorder="1" applyAlignment="1">
      <alignment horizontal="center"/>
    </xf>
    <xf numFmtId="1" fontId="12" fillId="6" borderId="3" xfId="1" applyNumberFormat="1" applyFont="1" applyFill="1" applyBorder="1" applyAlignment="1">
      <alignment horizontal="center"/>
    </xf>
    <xf numFmtId="3" fontId="3" fillId="6" borderId="2" xfId="0" applyNumberFormat="1" applyFont="1" applyFill="1" applyBorder="1" applyAlignment="1">
      <alignment horizontal="center"/>
    </xf>
    <xf numFmtId="167" fontId="38" fillId="6" borderId="2" xfId="0" applyNumberFormat="1" applyFont="1" applyFill="1" applyBorder="1" applyAlignment="1">
      <alignment horizontal="center"/>
    </xf>
    <xf numFmtId="167" fontId="9" fillId="6" borderId="2" xfId="0" applyNumberFormat="1" applyFont="1" applyFill="1" applyBorder="1" applyAlignment="1">
      <alignment horizontal="center"/>
    </xf>
    <xf numFmtId="167" fontId="12" fillId="6" borderId="2" xfId="1" applyNumberFormat="1" applyFont="1" applyFill="1" applyBorder="1" applyAlignment="1">
      <alignment horizontal="center"/>
    </xf>
    <xf numFmtId="0" fontId="0" fillId="6" borderId="2" xfId="0" applyFill="1" applyBorder="1" applyAlignment="1">
      <alignment horizontal="center"/>
    </xf>
    <xf numFmtId="167" fontId="38" fillId="6" borderId="5" xfId="0" applyNumberFormat="1" applyFont="1" applyFill="1" applyBorder="1" applyAlignment="1">
      <alignment horizontal="center"/>
    </xf>
    <xf numFmtId="43" fontId="44" fillId="0" borderId="0" xfId="1" applyFont="1"/>
    <xf numFmtId="43" fontId="46" fillId="0" borderId="10" xfId="1" applyFont="1" applyBorder="1" applyAlignment="1">
      <alignment horizontal="left" indent="11"/>
    </xf>
    <xf numFmtId="167" fontId="46" fillId="0" borderId="10" xfId="1" applyNumberFormat="1" applyFont="1" applyBorder="1" applyAlignment="1">
      <alignment horizontal="center"/>
    </xf>
    <xf numFmtId="43" fontId="47" fillId="0" borderId="0" xfId="1" applyFont="1" applyAlignment="1">
      <alignment horizontal="right"/>
    </xf>
    <xf numFmtId="43" fontId="47" fillId="0" borderId="3" xfId="1" applyFont="1" applyBorder="1" applyAlignment="1">
      <alignment horizontal="right"/>
    </xf>
    <xf numFmtId="0" fontId="8" fillId="5" borderId="14" xfId="0" applyFont="1" applyFill="1" applyBorder="1" applyAlignment="1">
      <alignment horizontal="center"/>
    </xf>
    <xf numFmtId="167" fontId="8" fillId="5" borderId="14" xfId="0" applyNumberFormat="1" applyFont="1" applyFill="1" applyBorder="1" applyAlignment="1">
      <alignment horizontal="center"/>
    </xf>
    <xf numFmtId="167" fontId="8" fillId="5" borderId="15" xfId="0" applyNumberFormat="1" applyFont="1" applyFill="1" applyBorder="1" applyAlignment="1">
      <alignment horizontal="center"/>
    </xf>
    <xf numFmtId="1" fontId="14" fillId="6" borderId="1" xfId="0" applyNumberFormat="1" applyFont="1" applyFill="1" applyBorder="1" applyAlignment="1">
      <alignment horizontal="center"/>
    </xf>
    <xf numFmtId="1" fontId="14" fillId="6" borderId="0" xfId="0" applyNumberFormat="1" applyFont="1" applyFill="1" applyAlignment="1">
      <alignment horizontal="center"/>
    </xf>
    <xf numFmtId="1" fontId="14" fillId="6" borderId="6" xfId="0" applyNumberFormat="1" applyFont="1" applyFill="1" applyBorder="1" applyAlignment="1">
      <alignment horizontal="center"/>
    </xf>
    <xf numFmtId="1" fontId="14" fillId="6" borderId="3" xfId="0" applyNumberFormat="1" applyFont="1" applyFill="1" applyBorder="1" applyAlignment="1">
      <alignment horizontal="center"/>
    </xf>
    <xf numFmtId="167" fontId="18" fillId="6" borderId="2" xfId="0" applyNumberFormat="1" applyFont="1" applyFill="1" applyBorder="1" applyAlignment="1">
      <alignment horizontal="center"/>
    </xf>
    <xf numFmtId="167" fontId="18" fillId="6" borderId="5" xfId="0" applyNumberFormat="1" applyFont="1" applyFill="1" applyBorder="1" applyAlignment="1">
      <alignment horizontal="center"/>
    </xf>
    <xf numFmtId="167" fontId="26" fillId="3" borderId="0" xfId="0" applyNumberFormat="1" applyFont="1" applyFill="1" applyAlignment="1" applyProtection="1">
      <alignment horizontal="center"/>
      <protection locked="0"/>
    </xf>
    <xf numFmtId="0" fontId="48" fillId="0" borderId="0" xfId="0" applyFont="1" applyAlignment="1" applyProtection="1">
      <alignment horizontal="center"/>
      <protection hidden="1"/>
    </xf>
    <xf numFmtId="0" fontId="25" fillId="0" borderId="0" xfId="0" applyFont="1" applyAlignment="1" applyProtection="1">
      <alignment horizontal="center"/>
      <protection hidden="1"/>
    </xf>
    <xf numFmtId="0" fontId="25" fillId="0" borderId="0" xfId="0" applyFont="1" applyAlignment="1" applyProtection="1">
      <alignment horizontal="left" wrapText="1"/>
      <protection hidden="1"/>
    </xf>
    <xf numFmtId="0" fontId="24" fillId="0" borderId="21" xfId="0" applyFont="1" applyBorder="1" applyAlignment="1" applyProtection="1">
      <alignment horizontal="center" vertical="top" wrapText="1"/>
      <protection hidden="1"/>
    </xf>
    <xf numFmtId="171" fontId="24" fillId="0" borderId="22" xfId="0" applyNumberFormat="1" applyFont="1" applyBorder="1" applyAlignment="1" applyProtection="1">
      <alignment horizontal="center"/>
      <protection hidden="1"/>
    </xf>
    <xf numFmtId="0" fontId="24" fillId="0" borderId="23" xfId="0" applyFont="1" applyBorder="1" applyAlignment="1" applyProtection="1">
      <alignment horizontal="center" vertical="top" wrapText="1"/>
      <protection hidden="1"/>
    </xf>
    <xf numFmtId="0" fontId="24" fillId="0" borderId="25" xfId="0"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0" fontId="24" fillId="0" borderId="23" xfId="0" applyFont="1" applyBorder="1" applyAlignment="1" applyProtection="1">
      <alignment horizontal="center"/>
      <protection hidden="1"/>
    </xf>
    <xf numFmtId="170" fontId="24" fillId="0" borderId="24" xfId="0" applyNumberFormat="1" applyFont="1" applyBorder="1" applyAlignment="1" applyProtection="1">
      <alignment horizontal="center"/>
      <protection hidden="1"/>
    </xf>
    <xf numFmtId="165" fontId="24" fillId="0" borderId="22" xfId="0" applyNumberFormat="1" applyFont="1" applyBorder="1" applyAlignment="1" applyProtection="1">
      <alignment horizontal="center"/>
      <protection hidden="1"/>
    </xf>
    <xf numFmtId="0" fontId="24" fillId="0" borderId="27" xfId="0" applyFont="1" applyBorder="1" applyAlignment="1" applyProtection="1">
      <alignment horizontal="center" vertical="top" wrapText="1"/>
      <protection hidden="1"/>
    </xf>
    <xf numFmtId="165" fontId="24" fillId="0" borderId="28" xfId="0" applyNumberFormat="1" applyFont="1" applyBorder="1" applyAlignment="1" applyProtection="1">
      <alignment horizontal="center"/>
      <protection hidden="1"/>
    </xf>
    <xf numFmtId="0" fontId="24" fillId="0" borderId="29" xfId="0" applyFont="1" applyBorder="1" applyAlignment="1" applyProtection="1">
      <alignment horizontal="center" vertical="top" wrapText="1"/>
      <protection hidden="1"/>
    </xf>
    <xf numFmtId="165" fontId="24" fillId="0" borderId="30" xfId="0" applyNumberFormat="1" applyFont="1" applyBorder="1" applyAlignment="1" applyProtection="1">
      <alignment horizontal="center"/>
      <protection hidden="1"/>
    </xf>
    <xf numFmtId="0" fontId="24" fillId="0" borderId="31" xfId="0" applyFont="1" applyBorder="1" applyAlignment="1" applyProtection="1">
      <alignment horizontal="center" vertical="top" wrapText="1"/>
      <protection hidden="1"/>
    </xf>
    <xf numFmtId="165" fontId="24" fillId="0" borderId="32"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70" fontId="24" fillId="0" borderId="31" xfId="0" applyNumberFormat="1" applyFont="1" applyBorder="1" applyAlignment="1" applyProtection="1">
      <alignment horizontal="center"/>
      <protection hidden="1"/>
    </xf>
    <xf numFmtId="0" fontId="24" fillId="0" borderId="29" xfId="0" applyFont="1" applyBorder="1" applyAlignment="1" applyProtection="1">
      <alignment horizontal="center"/>
      <protection hidden="1"/>
    </xf>
    <xf numFmtId="0" fontId="25" fillId="0" borderId="0" xfId="0" applyFont="1" applyAlignment="1" applyProtection="1">
      <alignment horizontal="right"/>
      <protection hidden="1"/>
    </xf>
    <xf numFmtId="0" fontId="24" fillId="8" borderId="29" xfId="0" applyFont="1" applyFill="1" applyBorder="1" applyAlignment="1" applyProtection="1">
      <alignment horizontal="center" vertical="top" wrapText="1"/>
      <protection hidden="1"/>
    </xf>
    <xf numFmtId="0" fontId="24" fillId="8" borderId="30" xfId="0" applyFont="1" applyFill="1" applyBorder="1" applyAlignment="1" applyProtection="1">
      <alignment horizontal="center"/>
      <protection hidden="1"/>
    </xf>
    <xf numFmtId="0" fontId="24" fillId="8" borderId="7" xfId="0" applyFont="1" applyFill="1" applyBorder="1" applyAlignment="1" applyProtection="1">
      <alignment horizontal="center" vertical="top" wrapText="1"/>
      <protection hidden="1"/>
    </xf>
    <xf numFmtId="0" fontId="16" fillId="8" borderId="7" xfId="0" applyFont="1" applyFill="1" applyBorder="1" applyAlignment="1">
      <alignment horizontal="center"/>
    </xf>
    <xf numFmtId="0" fontId="24" fillId="8" borderId="8" xfId="0" applyFont="1" applyFill="1" applyBorder="1" applyAlignment="1" applyProtection="1">
      <alignment horizontal="center" vertical="top" wrapText="1"/>
      <protection hidden="1"/>
    </xf>
    <xf numFmtId="167" fontId="16" fillId="8" borderId="7" xfId="0" applyNumberFormat="1" applyFont="1" applyFill="1" applyBorder="1" applyAlignment="1" applyProtection="1">
      <alignment horizontal="center"/>
      <protection hidden="1"/>
    </xf>
    <xf numFmtId="0" fontId="24" fillId="8" borderId="30" xfId="0" applyFont="1" applyFill="1" applyBorder="1" applyAlignment="1">
      <alignment horizontal="center"/>
    </xf>
    <xf numFmtId="167" fontId="24" fillId="0" borderId="26" xfId="0" applyNumberFormat="1" applyFont="1" applyBorder="1" applyAlignment="1" applyProtection="1">
      <alignment horizontal="center"/>
      <protection hidden="1"/>
    </xf>
    <xf numFmtId="0" fontId="52" fillId="0" borderId="0" xfId="0" applyFont="1" applyProtection="1">
      <protection hidden="1"/>
    </xf>
    <xf numFmtId="49" fontId="53" fillId="0" borderId="0" xfId="0" applyNumberFormat="1" applyFont="1" applyAlignment="1" applyProtection="1">
      <alignment horizontal="center"/>
      <protection hidden="1"/>
    </xf>
    <xf numFmtId="0" fontId="53" fillId="0" borderId="0" xfId="0" applyFont="1" applyAlignment="1" applyProtection="1">
      <alignment horizontal="center"/>
      <protection hidden="1"/>
    </xf>
    <xf numFmtId="0" fontId="52" fillId="0" borderId="0" xfId="0" applyFont="1"/>
    <xf numFmtId="0" fontId="54" fillId="0" borderId="0" xfId="0" applyFont="1" applyAlignment="1" applyProtection="1">
      <alignment horizontal="left"/>
      <protection hidden="1"/>
    </xf>
    <xf numFmtId="43" fontId="54" fillId="0" borderId="0" xfId="0" applyNumberFormat="1" applyFont="1" applyAlignment="1" applyProtection="1">
      <alignment horizontal="left"/>
      <protection hidden="1"/>
    </xf>
    <xf numFmtId="0" fontId="55" fillId="0" borderId="0" xfId="0" applyFont="1" applyProtection="1">
      <protection hidden="1"/>
    </xf>
    <xf numFmtId="0" fontId="51" fillId="8" borderId="7" xfId="0" applyFont="1" applyFill="1" applyBorder="1" applyAlignment="1" applyProtection="1">
      <alignment horizontal="center" vertical="top" wrapText="1"/>
      <protection hidden="1"/>
    </xf>
    <xf numFmtId="0" fontId="51" fillId="8" borderId="7" xfId="0" applyFont="1" applyFill="1" applyBorder="1" applyAlignment="1">
      <alignment horizontal="center"/>
    </xf>
    <xf numFmtId="0" fontId="51" fillId="0" borderId="7" xfId="0" applyFont="1" applyBorder="1" applyAlignment="1" applyProtection="1">
      <alignment horizontal="center" vertical="top" wrapText="1"/>
      <protection hidden="1"/>
    </xf>
    <xf numFmtId="171" fontId="51" fillId="0" borderId="7" xfId="0" applyNumberFormat="1" applyFont="1" applyBorder="1" applyAlignment="1" applyProtection="1">
      <alignment horizontal="center"/>
      <protection hidden="1"/>
    </xf>
    <xf numFmtId="0" fontId="51" fillId="0" borderId="7" xfId="0" applyFont="1" applyBorder="1" applyAlignment="1" applyProtection="1">
      <alignment horizontal="center"/>
      <protection hidden="1"/>
    </xf>
    <xf numFmtId="170" fontId="51" fillId="0" borderId="7" xfId="0" applyNumberFormat="1" applyFont="1" applyBorder="1" applyAlignment="1" applyProtection="1">
      <alignment horizontal="center"/>
      <protection hidden="1"/>
    </xf>
    <xf numFmtId="167" fontId="51" fillId="8" borderId="7" xfId="0" applyNumberFormat="1" applyFont="1" applyFill="1" applyBorder="1" applyAlignment="1" applyProtection="1">
      <alignment horizontal="center"/>
      <protection hidden="1"/>
    </xf>
    <xf numFmtId="167" fontId="51" fillId="0" borderId="7" xfId="0" applyNumberFormat="1" applyFont="1" applyBorder="1" applyAlignment="1" applyProtection="1">
      <alignment horizontal="center"/>
      <protection hidden="1"/>
    </xf>
    <xf numFmtId="0" fontId="51" fillId="0" borderId="0" xfId="0" applyFont="1" applyAlignment="1" applyProtection="1">
      <alignment horizontal="center"/>
      <protection hidden="1"/>
    </xf>
    <xf numFmtId="167" fontId="51" fillId="0" borderId="0" xfId="0" applyNumberFormat="1" applyFont="1" applyAlignment="1" applyProtection="1">
      <alignment horizontal="center"/>
      <protection hidden="1"/>
    </xf>
    <xf numFmtId="0" fontId="56" fillId="0" borderId="0" xfId="0" applyFont="1" applyAlignment="1" applyProtection="1">
      <alignment horizontal="center" wrapText="1"/>
      <protection hidden="1"/>
    </xf>
    <xf numFmtId="0" fontId="58" fillId="0" borderId="0" xfId="0" applyFont="1" applyAlignment="1">
      <alignment horizontal="left" vertical="center"/>
    </xf>
    <xf numFmtId="0" fontId="55" fillId="0" borderId="0" xfId="0" applyFont="1" applyAlignment="1" applyProtection="1">
      <alignment horizontal="left"/>
      <protection hidden="1"/>
    </xf>
    <xf numFmtId="0" fontId="55" fillId="0" borderId="0" xfId="0" applyFont="1"/>
    <xf numFmtId="0" fontId="55" fillId="0" borderId="0" xfId="0" applyFont="1" applyAlignment="1" applyProtection="1">
      <alignment horizontal="center"/>
      <protection hidden="1"/>
    </xf>
    <xf numFmtId="171" fontId="55" fillId="0" borderId="0" xfId="0" applyNumberFormat="1" applyFont="1" applyAlignment="1" applyProtection="1">
      <alignment horizontal="left"/>
      <protection hidden="1"/>
    </xf>
    <xf numFmtId="0" fontId="1" fillId="0" borderId="0" xfId="0" applyFont="1"/>
    <xf numFmtId="0" fontId="0" fillId="0" borderId="0" xfId="0" applyAlignment="1">
      <alignment horizontal="center" vertical="center" wrapText="1"/>
    </xf>
    <xf numFmtId="0" fontId="43" fillId="0" borderId="0" xfId="0" applyFont="1" applyAlignment="1">
      <alignment horizontal="center" vertical="center"/>
    </xf>
    <xf numFmtId="0" fontId="43" fillId="0" borderId="0" xfId="0" applyFont="1" applyAlignment="1">
      <alignment vertical="center"/>
    </xf>
    <xf numFmtId="0" fontId="43" fillId="0" borderId="33" xfId="0" applyFont="1" applyBorder="1" applyAlignment="1">
      <alignment horizontal="center" vertical="center"/>
    </xf>
    <xf numFmtId="43" fontId="43" fillId="0" borderId="33" xfId="1" applyFont="1" applyBorder="1" applyAlignment="1">
      <alignment horizontal="center" vertical="center"/>
    </xf>
    <xf numFmtId="0" fontId="1"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10" fillId="3" borderId="2" xfId="1" applyNumberFormat="1" applyFont="1" applyFill="1" applyBorder="1" applyAlignment="1">
      <alignment horizontal="center"/>
    </xf>
    <xf numFmtId="0" fontId="35" fillId="5" borderId="12" xfId="0" applyFont="1" applyFill="1" applyBorder="1" applyAlignment="1">
      <alignment horizontal="left"/>
    </xf>
    <xf numFmtId="167" fontId="8" fillId="5" borderId="17" xfId="0" applyNumberFormat="1" applyFont="1" applyFill="1" applyBorder="1" applyAlignment="1">
      <alignment horizontal="center"/>
    </xf>
    <xf numFmtId="167" fontId="8" fillId="5" borderId="12" xfId="0" applyNumberFormat="1" applyFont="1" applyFill="1" applyBorder="1" applyAlignment="1">
      <alignment horizontal="center"/>
    </xf>
    <xf numFmtId="167" fontId="16" fillId="0" borderId="1" xfId="0" applyNumberFormat="1" applyFont="1" applyBorder="1" applyAlignment="1">
      <alignment horizontal="center" vertical="center" wrapText="1"/>
    </xf>
    <xf numFmtId="167" fontId="16" fillId="0" borderId="0" xfId="0" applyNumberFormat="1" applyFont="1" applyAlignment="1">
      <alignment horizontal="center" vertical="center" wrapText="1"/>
    </xf>
    <xf numFmtId="0" fontId="32" fillId="7" borderId="0" xfId="0" applyFont="1" applyFill="1" applyAlignment="1">
      <alignment horizontal="left" vertical="center" wrapText="1" indent="11"/>
    </xf>
    <xf numFmtId="167" fontId="42" fillId="7" borderId="0" xfId="0" applyNumberFormat="1" applyFont="1" applyFill="1" applyAlignment="1">
      <alignment horizontal="center" vertical="center" wrapText="1"/>
    </xf>
    <xf numFmtId="0" fontId="32" fillId="7" borderId="2" xfId="0" applyFont="1" applyFill="1" applyBorder="1" applyAlignment="1">
      <alignment horizontal="center" vertical="center" wrapText="1"/>
    </xf>
    <xf numFmtId="167" fontId="7" fillId="0" borderId="1" xfId="1" applyNumberFormat="1" applyFont="1" applyBorder="1" applyAlignment="1">
      <alignment horizontal="right"/>
    </xf>
    <xf numFmtId="174" fontId="7" fillId="0" borderId="0" xfId="1" applyNumberFormat="1" applyFont="1" applyAlignment="1">
      <alignment horizontal="right"/>
    </xf>
    <xf numFmtId="43" fontId="7" fillId="0" borderId="0" xfId="1" applyFont="1" applyAlignment="1">
      <alignment horizontal="left" indent="11"/>
    </xf>
    <xf numFmtId="172" fontId="7" fillId="0" borderId="2" xfId="0" applyNumberFormat="1" applyFont="1" applyBorder="1" applyAlignment="1">
      <alignment horizontal="center"/>
    </xf>
    <xf numFmtId="167" fontId="7" fillId="0" borderId="0" xfId="0" applyNumberFormat="1" applyFont="1" applyAlignment="1">
      <alignment horizontal="right"/>
    </xf>
    <xf numFmtId="167" fontId="9" fillId="0" borderId="10" xfId="0" applyNumberFormat="1" applyFont="1" applyBorder="1" applyAlignment="1">
      <alignment horizontal="center"/>
    </xf>
    <xf numFmtId="167" fontId="9" fillId="0" borderId="19" xfId="0" applyNumberFormat="1" applyFont="1" applyBorder="1" applyAlignment="1">
      <alignment horizontal="center"/>
    </xf>
    <xf numFmtId="1" fontId="8" fillId="5" borderId="13" xfId="0" applyNumberFormat="1" applyFont="1" applyFill="1" applyBorder="1" applyAlignment="1">
      <alignment horizontal="center"/>
    </xf>
    <xf numFmtId="1" fontId="8" fillId="5" borderId="15" xfId="0" applyNumberFormat="1" applyFont="1" applyFill="1" applyBorder="1" applyAlignment="1">
      <alignment horizontal="center"/>
    </xf>
    <xf numFmtId="0" fontId="42" fillId="0" borderId="0" xfId="0" applyFont="1"/>
    <xf numFmtId="0" fontId="0" fillId="0" borderId="2" xfId="0" applyBorder="1" applyAlignment="1">
      <alignment horizontal="center"/>
    </xf>
    <xf numFmtId="1" fontId="8" fillId="5" borderId="6" xfId="0" applyNumberFormat="1" applyFont="1" applyFill="1" applyBorder="1" applyAlignment="1">
      <alignment horizontal="center"/>
    </xf>
    <xf numFmtId="1" fontId="8" fillId="5" borderId="5" xfId="0" applyNumberFormat="1" applyFont="1" applyFill="1" applyBorder="1" applyAlignment="1">
      <alignment horizontal="center"/>
    </xf>
    <xf numFmtId="0" fontId="42" fillId="0" borderId="3" xfId="0" applyFont="1" applyBorder="1"/>
    <xf numFmtId="0" fontId="0" fillId="0" borderId="3" xfId="0" applyBorder="1" applyAlignment="1">
      <alignment horizontal="center"/>
    </xf>
    <xf numFmtId="0" fontId="0" fillId="0" borderId="5" xfId="0" applyBorder="1" applyAlignment="1">
      <alignment horizontal="center"/>
    </xf>
    <xf numFmtId="1" fontId="8" fillId="5" borderId="20" xfId="0" applyNumberFormat="1" applyFont="1" applyFill="1" applyBorder="1" applyAlignment="1">
      <alignment horizontal="center"/>
    </xf>
    <xf numFmtId="175" fontId="1" fillId="0" borderId="14" xfId="0" applyNumberFormat="1" applyFont="1" applyBorder="1" applyAlignment="1">
      <alignment horizontal="right"/>
    </xf>
    <xf numFmtId="43" fontId="1" fillId="0" borderId="14" xfId="1" applyBorder="1"/>
    <xf numFmtId="0" fontId="0" fillId="0" borderId="14" xfId="0" applyBorder="1" applyAlignment="1">
      <alignment horizontal="center"/>
    </xf>
    <xf numFmtId="14" fontId="0" fillId="6" borderId="15" xfId="0" applyNumberFormat="1" applyFill="1" applyBorder="1" applyAlignment="1">
      <alignment horizontal="center"/>
    </xf>
    <xf numFmtId="1" fontId="12" fillId="6" borderId="1" xfId="0" applyNumberFormat="1" applyFont="1" applyFill="1" applyBorder="1" applyAlignment="1">
      <alignment horizontal="center"/>
    </xf>
    <xf numFmtId="175" fontId="1" fillId="0" borderId="0" xfId="0" applyNumberFormat="1" applyFont="1" applyAlignment="1">
      <alignment horizontal="right"/>
    </xf>
    <xf numFmtId="43" fontId="1" fillId="0" borderId="0" xfId="1"/>
    <xf numFmtId="1" fontId="18" fillId="0" borderId="0" xfId="0" applyNumberFormat="1" applyFont="1" applyAlignment="1">
      <alignment horizontal="right"/>
    </xf>
    <xf numFmtId="1" fontId="0" fillId="6" borderId="6" xfId="0" applyNumberFormat="1" applyFill="1" applyBorder="1" applyAlignment="1">
      <alignment horizontal="center"/>
    </xf>
    <xf numFmtId="1" fontId="0" fillId="0" borderId="3" xfId="0" applyNumberFormat="1" applyBorder="1" applyAlignment="1">
      <alignment horizontal="center"/>
    </xf>
    <xf numFmtId="0" fontId="46" fillId="0" borderId="3" xfId="0" applyFont="1" applyBorder="1"/>
    <xf numFmtId="0" fontId="0" fillId="6" borderId="5" xfId="0" applyFill="1" applyBorder="1" applyAlignment="1">
      <alignment horizontal="center"/>
    </xf>
    <xf numFmtId="49" fontId="51" fillId="0" borderId="7" xfId="0" applyNumberFormat="1" applyFont="1" applyBorder="1" applyAlignment="1" applyProtection="1">
      <alignment horizontal="center" wrapText="1"/>
      <protection hidden="1"/>
    </xf>
    <xf numFmtId="0" fontId="57" fillId="0" borderId="0" xfId="0" applyFont="1" applyAlignment="1">
      <alignment vertical="center" wrapText="1"/>
    </xf>
    <xf numFmtId="0" fontId="57" fillId="0" borderId="0" xfId="0" applyFont="1" applyAlignment="1" applyProtection="1">
      <alignment wrapText="1"/>
      <protection hidden="1"/>
    </xf>
    <xf numFmtId="0" fontId="64" fillId="0" borderId="9" xfId="0" applyFont="1" applyBorder="1" applyAlignment="1">
      <alignment vertical="center" wrapText="1"/>
    </xf>
    <xf numFmtId="0" fontId="65" fillId="9" borderId="0" xfId="0" applyFont="1" applyFill="1" applyAlignment="1" applyProtection="1">
      <alignment horizontal="center" vertical="center"/>
      <protection locked="0"/>
    </xf>
    <xf numFmtId="49" fontId="24" fillId="0" borderId="24" xfId="0" applyNumberFormat="1" applyFont="1" applyBorder="1" applyAlignment="1" applyProtection="1">
      <alignment horizontal="center" wrapText="1"/>
      <protection hidden="1"/>
    </xf>
    <xf numFmtId="49" fontId="16" fillId="0" borderId="7" xfId="0" applyNumberFormat="1" applyFont="1" applyBorder="1" applyAlignment="1" applyProtection="1">
      <alignment horizontal="center" wrapText="1"/>
      <protection hidden="1"/>
    </xf>
    <xf numFmtId="170" fontId="24" fillId="0" borderId="7" xfId="0" applyNumberFormat="1" applyFont="1" applyBorder="1" applyAlignment="1" applyProtection="1">
      <alignment horizontal="center"/>
      <protection hidden="1"/>
    </xf>
    <xf numFmtId="170" fontId="9" fillId="0" borderId="40" xfId="0" applyNumberFormat="1" applyFont="1" applyBorder="1" applyAlignment="1" applyProtection="1">
      <alignment horizontal="center"/>
      <protection hidden="1"/>
    </xf>
    <xf numFmtId="167" fontId="9" fillId="0" borderId="40" xfId="0" applyNumberFormat="1" applyFont="1" applyBorder="1" applyAlignment="1" applyProtection="1">
      <alignment horizontal="center"/>
      <protection hidden="1"/>
    </xf>
    <xf numFmtId="0" fontId="9" fillId="0" borderId="29" xfId="0" applyFont="1" applyBorder="1" applyAlignment="1" applyProtection="1">
      <alignment horizontal="center"/>
      <protection hidden="1"/>
    </xf>
    <xf numFmtId="167" fontId="9" fillId="0" borderId="30" xfId="0" applyNumberFormat="1" applyFont="1" applyBorder="1" applyAlignment="1" applyProtection="1">
      <alignment horizontal="center"/>
      <protection hidden="1"/>
    </xf>
    <xf numFmtId="1" fontId="7" fillId="0" borderId="1" xfId="1" applyNumberFormat="1" applyFont="1" applyBorder="1" applyAlignment="1">
      <alignment horizontal="center"/>
    </xf>
    <xf numFmtId="0" fontId="66" fillId="0" borderId="13" xfId="0" applyFont="1" applyBorder="1" applyAlignment="1">
      <alignment horizontal="center"/>
    </xf>
    <xf numFmtId="0" fontId="66" fillId="0" borderId="1" xfId="0" applyFont="1" applyBorder="1" applyAlignment="1">
      <alignment horizontal="center"/>
    </xf>
    <xf numFmtId="0" fontId="67" fillId="0" borderId="1" xfId="0" applyFont="1" applyBorder="1" applyAlignment="1">
      <alignment horizontal="left"/>
    </xf>
    <xf numFmtId="0" fontId="67" fillId="0" borderId="1" xfId="0" applyFont="1" applyBorder="1"/>
    <xf numFmtId="0" fontId="68" fillId="0" borderId="6" xfId="0" applyFont="1" applyBorder="1"/>
    <xf numFmtId="170" fontId="19" fillId="3" borderId="0" xfId="0" applyNumberFormat="1" applyFont="1" applyFill="1" applyAlignment="1" applyProtection="1">
      <alignment horizontal="center"/>
      <protection locked="0"/>
    </xf>
    <xf numFmtId="1" fontId="1" fillId="6" borderId="1" xfId="1" applyNumberFormat="1" applyFill="1" applyBorder="1" applyAlignment="1">
      <alignment horizontal="center"/>
    </xf>
    <xf numFmtId="178" fontId="11" fillId="3" borderId="0" xfId="1" applyNumberFormat="1" applyFont="1" applyFill="1" applyAlignment="1" applyProtection="1">
      <alignment horizontal="center"/>
      <protection locked="0"/>
    </xf>
    <xf numFmtId="43" fontId="69" fillId="0" borderId="10" xfId="1" applyFont="1" applyBorder="1" applyAlignment="1">
      <alignment horizontal="left" indent="11"/>
    </xf>
    <xf numFmtId="171" fontId="24" fillId="0" borderId="0" xfId="0" applyNumberFormat="1" applyFont="1" applyAlignment="1" applyProtection="1">
      <alignment horizontal="left"/>
      <protection locked="0"/>
    </xf>
    <xf numFmtId="171" fontId="25" fillId="0" borderId="0" xfId="0" applyNumberFormat="1" applyFont="1" applyAlignment="1" applyProtection="1">
      <alignment horizontal="left"/>
      <protection locked="0"/>
    </xf>
    <xf numFmtId="0" fontId="1" fillId="0" borderId="1" xfId="0" applyFont="1" applyBorder="1"/>
    <xf numFmtId="179" fontId="0" fillId="0" borderId="0" xfId="0" applyNumberFormat="1" applyProtection="1">
      <protection hidden="1"/>
    </xf>
    <xf numFmtId="0" fontId="3" fillId="10" borderId="0" xfId="0" applyFont="1" applyFill="1"/>
    <xf numFmtId="0" fontId="59" fillId="10" borderId="0" xfId="0" applyFont="1" applyFill="1"/>
    <xf numFmtId="0" fontId="2" fillId="10" borderId="0" xfId="0" applyFont="1" applyFill="1"/>
    <xf numFmtId="0" fontId="60" fillId="10" borderId="0" xfId="0" applyFont="1" applyFill="1"/>
    <xf numFmtId="0" fontId="1" fillId="10" borderId="0" xfId="0" applyFont="1" applyFill="1"/>
    <xf numFmtId="0" fontId="61" fillId="10" borderId="0" xfId="0" applyFont="1" applyFill="1"/>
    <xf numFmtId="0" fontId="7" fillId="10" borderId="0" xfId="0" applyFont="1" applyFill="1"/>
    <xf numFmtId="0" fontId="62" fillId="10" borderId="0" xfId="0" applyFont="1" applyFill="1"/>
    <xf numFmtId="0" fontId="9" fillId="10" borderId="0" xfId="0" applyFont="1" applyFill="1" applyAlignment="1">
      <alignment horizontal="center"/>
    </xf>
    <xf numFmtId="0" fontId="13" fillId="10" borderId="0" xfId="0" applyFont="1" applyFill="1" applyAlignment="1">
      <alignment horizontal="center"/>
    </xf>
    <xf numFmtId="0" fontId="45" fillId="10" borderId="0" xfId="0" applyFont="1" applyFill="1" applyAlignment="1">
      <alignment horizontal="center"/>
    </xf>
    <xf numFmtId="0" fontId="63" fillId="10" borderId="0" xfId="0" applyFont="1" applyFill="1" applyAlignment="1">
      <alignment horizontal="center"/>
    </xf>
    <xf numFmtId="177" fontId="0" fillId="0" borderId="0" xfId="0" applyNumberFormat="1" applyProtection="1">
      <protection hidden="1"/>
    </xf>
    <xf numFmtId="167" fontId="0" fillId="0" borderId="0" xfId="0" applyNumberFormat="1" applyProtection="1">
      <protection hidden="1"/>
    </xf>
    <xf numFmtId="0" fontId="71" fillId="4" borderId="0" xfId="0" applyFont="1" applyFill="1"/>
    <xf numFmtId="0" fontId="72" fillId="0" borderId="0" xfId="0" applyFont="1"/>
    <xf numFmtId="43" fontId="1" fillId="0" borderId="0" xfId="1" applyAlignment="1">
      <alignment horizontal="right"/>
    </xf>
    <xf numFmtId="0" fontId="1" fillId="0" borderId="0" xfId="0" applyFont="1" applyAlignment="1" applyProtection="1">
      <alignment horizontal="center"/>
      <protection locked="0"/>
    </xf>
    <xf numFmtId="0" fontId="78" fillId="0" borderId="0" xfId="0" applyFont="1" applyAlignment="1">
      <alignment horizontal="center"/>
    </xf>
    <xf numFmtId="0" fontId="78" fillId="5" borderId="0" xfId="0" applyFont="1" applyFill="1"/>
    <xf numFmtId="0" fontId="78" fillId="5" borderId="0" xfId="0" applyFont="1" applyFill="1" applyAlignment="1">
      <alignment horizontal="center"/>
    </xf>
    <xf numFmtId="0" fontId="79" fillId="0" borderId="0" xfId="0" applyFont="1"/>
    <xf numFmtId="0" fontId="72" fillId="0" borderId="0" xfId="0" applyFont="1" applyAlignment="1">
      <alignment horizontal="center"/>
    </xf>
    <xf numFmtId="0" fontId="72" fillId="3" borderId="0" xfId="0" applyFont="1" applyFill="1"/>
    <xf numFmtId="0" fontId="72" fillId="3" borderId="0" xfId="0" applyFont="1" applyFill="1" applyAlignment="1">
      <alignment horizontal="center"/>
    </xf>
    <xf numFmtId="0" fontId="80" fillId="0" borderId="0" xfId="0" applyFont="1" applyAlignment="1">
      <alignment horizontal="center"/>
    </xf>
    <xf numFmtId="0" fontId="80" fillId="0" borderId="0" xfId="0" applyFont="1"/>
    <xf numFmtId="0" fontId="39" fillId="0" borderId="0" xfId="0" applyFont="1" applyAlignment="1">
      <alignment horizontal="center"/>
    </xf>
    <xf numFmtId="0" fontId="71" fillId="0" borderId="0" xfId="0" applyFont="1"/>
    <xf numFmtId="0" fontId="81" fillId="5" borderId="0" xfId="0" applyFont="1" applyFill="1"/>
    <xf numFmtId="0" fontId="71" fillId="5" borderId="0" xfId="0" applyFont="1" applyFill="1"/>
    <xf numFmtId="0" fontId="71" fillId="0" borderId="0" xfId="0" applyFont="1" applyAlignment="1">
      <alignment horizontal="center"/>
    </xf>
    <xf numFmtId="0" fontId="71" fillId="3" borderId="0" xfId="0" applyFont="1" applyFill="1" applyAlignment="1">
      <alignment horizontal="right"/>
    </xf>
    <xf numFmtId="14" fontId="71" fillId="3" borderId="0" xfId="0" applyNumberFormat="1" applyFont="1" applyFill="1"/>
    <xf numFmtId="14" fontId="71" fillId="4" borderId="0" xfId="0" applyNumberFormat="1" applyFont="1" applyFill="1"/>
    <xf numFmtId="176" fontId="71" fillId="3" borderId="0" xfId="0" applyNumberFormat="1" applyFont="1" applyFill="1"/>
    <xf numFmtId="164" fontId="71" fillId="0" borderId="0" xfId="0" applyNumberFormat="1" applyFont="1"/>
    <xf numFmtId="176" fontId="71" fillId="4" borderId="0" xfId="0" applyNumberFormat="1" applyFont="1" applyFill="1"/>
    <xf numFmtId="166" fontId="71" fillId="0" borderId="0" xfId="0" applyNumberFormat="1" applyFont="1"/>
    <xf numFmtId="164" fontId="39" fillId="4" borderId="0" xfId="0" applyNumberFormat="1" applyFont="1" applyFill="1"/>
    <xf numFmtId="164" fontId="39" fillId="0" borderId="0" xfId="0" applyNumberFormat="1" applyFont="1"/>
    <xf numFmtId="176" fontId="39" fillId="0" borderId="0" xfId="0" applyNumberFormat="1" applyFont="1"/>
    <xf numFmtId="1" fontId="71" fillId="4" borderId="0" xfId="0" applyNumberFormat="1" applyFont="1" applyFill="1"/>
    <xf numFmtId="164" fontId="71" fillId="0" borderId="0" xfId="1" applyNumberFormat="1" applyFont="1" applyAlignment="1">
      <alignment horizontal="center"/>
    </xf>
    <xf numFmtId="0" fontId="71" fillId="4" borderId="0" xfId="0" applyFont="1" applyFill="1" applyAlignment="1">
      <alignment horizontal="center"/>
    </xf>
    <xf numFmtId="43" fontId="73" fillId="3" borderId="0" xfId="1" applyFont="1" applyFill="1" applyAlignment="1">
      <alignment horizontal="right"/>
    </xf>
    <xf numFmtId="0" fontId="71" fillId="0" borderId="0" xfId="0" applyFont="1" applyAlignment="1">
      <alignment horizontal="right"/>
    </xf>
    <xf numFmtId="0" fontId="71" fillId="3" borderId="0" xfId="0" applyFont="1" applyFill="1" applyAlignment="1">
      <alignment horizontal="center"/>
    </xf>
    <xf numFmtId="170" fontId="71" fillId="3" borderId="0" xfId="0" applyNumberFormat="1" applyFont="1" applyFill="1"/>
    <xf numFmtId="0" fontId="81" fillId="5" borderId="0" xfId="0" applyFont="1" applyFill="1" applyAlignment="1">
      <alignment horizontal="center"/>
    </xf>
    <xf numFmtId="43" fontId="73" fillId="0" borderId="0" xfId="1" applyFont="1" applyAlignment="1">
      <alignment horizontal="right"/>
    </xf>
    <xf numFmtId="0" fontId="71" fillId="0" borderId="0" xfId="0" applyFont="1" applyAlignment="1">
      <alignment horizontal="center" vertical="center" wrapText="1"/>
    </xf>
    <xf numFmtId="165" fontId="71" fillId="4" borderId="0" xfId="0" applyNumberFormat="1" applyFont="1" applyFill="1"/>
    <xf numFmtId="167" fontId="71" fillId="3" borderId="0" xfId="0" applyNumberFormat="1" applyFont="1" applyFill="1" applyAlignment="1">
      <alignment horizontal="center"/>
    </xf>
    <xf numFmtId="165" fontId="71" fillId="4" borderId="9" xfId="0" applyNumberFormat="1" applyFont="1" applyFill="1" applyBorder="1"/>
    <xf numFmtId="167" fontId="71" fillId="4" borderId="0" xfId="0" applyNumberFormat="1" applyFont="1" applyFill="1"/>
    <xf numFmtId="165" fontId="71" fillId="4" borderId="10" xfId="0" applyNumberFormat="1" applyFont="1" applyFill="1" applyBorder="1"/>
    <xf numFmtId="165" fontId="71" fillId="0" borderId="0" xfId="0" applyNumberFormat="1" applyFont="1"/>
    <xf numFmtId="0" fontId="24" fillId="0" borderId="0" xfId="0" applyFont="1" applyAlignment="1" applyProtection="1">
      <alignment horizontal="center"/>
      <protection hidden="1"/>
    </xf>
    <xf numFmtId="0" fontId="82" fillId="0" borderId="0" xfId="0" applyFont="1" applyAlignment="1" applyProtection="1">
      <alignment horizontal="center"/>
      <protection hidden="1"/>
    </xf>
    <xf numFmtId="43" fontId="0" fillId="0" borderId="0" xfId="1" applyFont="1" applyBorder="1" applyAlignment="1">
      <alignment vertical="top" wrapText="1"/>
    </xf>
    <xf numFmtId="43" fontId="10" fillId="3" borderId="0" xfId="1" applyFont="1" applyFill="1" applyBorder="1" applyAlignment="1" applyProtection="1">
      <alignment horizontal="center"/>
      <protection locked="0"/>
    </xf>
    <xf numFmtId="1" fontId="0" fillId="2" borderId="0" xfId="1" applyNumberFormat="1" applyFont="1" applyFill="1" applyBorder="1" applyAlignment="1">
      <alignment horizontal="center"/>
    </xf>
    <xf numFmtId="43" fontId="0" fillId="0" borderId="0" xfId="1" applyFont="1" applyBorder="1"/>
    <xf numFmtId="43" fontId="1" fillId="0" borderId="0" xfId="1" applyBorder="1"/>
    <xf numFmtId="43" fontId="6" fillId="3" borderId="0" xfId="1" applyFont="1" applyFill="1" applyBorder="1" applyAlignment="1" applyProtection="1">
      <alignment horizontal="center"/>
      <protection locked="0"/>
    </xf>
    <xf numFmtId="164" fontId="32" fillId="7" borderId="3" xfId="1" applyNumberFormat="1" applyFont="1" applyFill="1" applyBorder="1" applyAlignment="1">
      <alignment horizontal="left"/>
    </xf>
    <xf numFmtId="164" fontId="26" fillId="2" borderId="5" xfId="1" applyNumberFormat="1" applyFont="1" applyFill="1" applyBorder="1" applyAlignment="1">
      <alignment horizontal="center"/>
    </xf>
    <xf numFmtId="0" fontId="0" fillId="2" borderId="41" xfId="0" applyFill="1" applyBorder="1" applyAlignment="1">
      <alignment horizontal="center"/>
    </xf>
    <xf numFmtId="3" fontId="0" fillId="2" borderId="41" xfId="0" applyNumberFormat="1" applyFill="1" applyBorder="1" applyAlignment="1">
      <alignment horizontal="center"/>
    </xf>
    <xf numFmtId="169" fontId="0" fillId="2" borderId="41" xfId="0" applyNumberFormat="1" applyFill="1" applyBorder="1" applyAlignment="1">
      <alignment horizontal="center"/>
    </xf>
    <xf numFmtId="169" fontId="10" fillId="3" borderId="41" xfId="0" applyNumberFormat="1" applyFont="1" applyFill="1" applyBorder="1" applyAlignment="1" applyProtection="1">
      <alignment horizontal="center"/>
      <protection locked="0"/>
    </xf>
    <xf numFmtId="164" fontId="26" fillId="3" borderId="42" xfId="1" applyNumberFormat="1" applyFont="1" applyFill="1" applyBorder="1" applyAlignment="1" applyProtection="1">
      <alignment horizontal="center"/>
      <protection locked="0"/>
    </xf>
    <xf numFmtId="43" fontId="10" fillId="3" borderId="40" xfId="1" applyFont="1" applyFill="1" applyBorder="1" applyAlignment="1" applyProtection="1">
      <alignment horizontal="center"/>
      <protection locked="0"/>
    </xf>
    <xf numFmtId="43" fontId="10" fillId="3" borderId="11" xfId="1" applyFont="1" applyFill="1" applyBorder="1" applyAlignment="1" applyProtection="1">
      <alignment horizontal="center"/>
      <protection locked="0"/>
    </xf>
    <xf numFmtId="168" fontId="10" fillId="3" borderId="11" xfId="1" applyNumberFormat="1" applyFont="1" applyFill="1" applyBorder="1" applyAlignment="1" applyProtection="1">
      <alignment horizontal="center"/>
      <protection locked="0"/>
    </xf>
    <xf numFmtId="3" fontId="10" fillId="3" borderId="11" xfId="1" applyNumberFormat="1" applyFont="1" applyFill="1" applyBorder="1" applyAlignment="1" applyProtection="1">
      <alignment horizontal="center"/>
      <protection locked="0"/>
    </xf>
    <xf numFmtId="177" fontId="10" fillId="3" borderId="11" xfId="1" applyNumberFormat="1" applyFont="1" applyFill="1" applyBorder="1" applyAlignment="1" applyProtection="1">
      <alignment horizontal="center"/>
      <protection locked="0"/>
    </xf>
    <xf numFmtId="3" fontId="0" fillId="2" borderId="11" xfId="0" applyNumberFormat="1" applyFill="1" applyBorder="1" applyAlignment="1">
      <alignment horizontal="center"/>
    </xf>
    <xf numFmtId="164" fontId="10" fillId="2" borderId="11" xfId="1" applyNumberFormat="1" applyFont="1" applyFill="1" applyBorder="1" applyAlignment="1">
      <alignment horizontal="center"/>
    </xf>
    <xf numFmtId="43" fontId="0" fillId="11" borderId="0" xfId="1" applyFont="1" applyFill="1" applyBorder="1"/>
    <xf numFmtId="43" fontId="0" fillId="11" borderId="0" xfId="1" applyFont="1" applyFill="1" applyBorder="1" applyAlignment="1">
      <alignment vertical="top" wrapText="1"/>
    </xf>
    <xf numFmtId="43" fontId="0" fillId="11" borderId="9" xfId="1" applyFont="1" applyFill="1" applyBorder="1"/>
    <xf numFmtId="0" fontId="76" fillId="10" borderId="0" xfId="0" applyFont="1" applyFill="1"/>
    <xf numFmtId="0" fontId="77" fillId="10" borderId="0" xfId="0" applyFont="1" applyFill="1"/>
    <xf numFmtId="0" fontId="73" fillId="10" borderId="0" xfId="0" applyFont="1" applyFill="1"/>
    <xf numFmtId="0" fontId="75" fillId="10" borderId="0" xfId="0" applyFont="1" applyFill="1"/>
    <xf numFmtId="0" fontId="73" fillId="0" borderId="0" xfId="0" applyFont="1"/>
    <xf numFmtId="2" fontId="73" fillId="0" borderId="0" xfId="3" applyNumberFormat="1" applyFont="1"/>
    <xf numFmtId="2" fontId="88" fillId="0" borderId="0" xfId="3" applyNumberFormat="1" applyFont="1"/>
    <xf numFmtId="0" fontId="74" fillId="10" borderId="0" xfId="0" applyFont="1" applyFill="1" applyAlignment="1">
      <alignment horizontal="center"/>
    </xf>
    <xf numFmtId="0" fontId="89" fillId="10" borderId="0" xfId="0" applyFont="1" applyFill="1" applyAlignment="1">
      <alignment horizontal="center"/>
    </xf>
    <xf numFmtId="0" fontId="91" fillId="0" borderId="0" xfId="0" applyFont="1"/>
    <xf numFmtId="0" fontId="92" fillId="0" borderId="0" xfId="0" applyFont="1" applyAlignment="1">
      <alignment horizontal="left" indent="5"/>
    </xf>
    <xf numFmtId="0" fontId="1" fillId="0" borderId="36" xfId="0" applyFont="1" applyBorder="1" applyAlignment="1">
      <alignment horizontal="center" vertical="center" wrapText="1"/>
    </xf>
    <xf numFmtId="0" fontId="71" fillId="12" borderId="0" xfId="0" applyFont="1" applyFill="1"/>
    <xf numFmtId="0" fontId="39" fillId="12" borderId="0" xfId="0" applyFont="1" applyFill="1"/>
    <xf numFmtId="43" fontId="1" fillId="0" borderId="40" xfId="1" applyFont="1" applyBorder="1"/>
    <xf numFmtId="177" fontId="22" fillId="0" borderId="11" xfId="1" applyNumberFormat="1" applyFont="1" applyBorder="1" applyAlignment="1">
      <alignment horizontal="center"/>
    </xf>
    <xf numFmtId="0" fontId="77" fillId="10" borderId="0" xfId="0" applyFont="1" applyFill="1" applyBorder="1" applyAlignment="1">
      <alignment horizontal="center" vertical="center" wrapText="1"/>
    </xf>
    <xf numFmtId="0" fontId="77" fillId="0" borderId="0" xfId="0" applyFont="1" applyBorder="1"/>
    <xf numFmtId="0" fontId="73" fillId="10" borderId="0" xfId="0" applyFont="1" applyFill="1" applyBorder="1"/>
    <xf numFmtId="177" fontId="73" fillId="0" borderId="0" xfId="0" applyNumberFormat="1" applyFont="1" applyBorder="1"/>
    <xf numFmtId="179" fontId="73" fillId="0" borderId="0" xfId="0" applyNumberFormat="1" applyFont="1" applyBorder="1"/>
    <xf numFmtId="180" fontId="73" fillId="10" borderId="0" xfId="0" applyNumberFormat="1" applyFont="1" applyFill="1" applyBorder="1"/>
    <xf numFmtId="0" fontId="88" fillId="10" borderId="0" xfId="0" applyFont="1" applyFill="1" applyBorder="1"/>
    <xf numFmtId="177" fontId="88" fillId="0" borderId="0" xfId="0" applyNumberFormat="1" applyFont="1" applyBorder="1"/>
    <xf numFmtId="179" fontId="88" fillId="0" borderId="0" xfId="0" applyNumberFormat="1" applyFont="1" applyBorder="1"/>
    <xf numFmtId="43" fontId="1" fillId="11" borderId="0" xfId="1" applyFont="1" applyFill="1" applyBorder="1" applyAlignment="1">
      <alignment wrapText="1"/>
    </xf>
    <xf numFmtId="0" fontId="76" fillId="0" borderId="0" xfId="0" applyFont="1" applyAlignment="1" applyProtection="1">
      <alignment horizontal="center"/>
      <protection hidden="1"/>
    </xf>
    <xf numFmtId="0" fontId="83" fillId="10" borderId="0" xfId="0" applyFont="1" applyFill="1" applyProtection="1">
      <protection hidden="1"/>
    </xf>
    <xf numFmtId="0" fontId="76" fillId="10" borderId="0" xfId="0" applyFont="1" applyFill="1" applyProtection="1">
      <protection hidden="1"/>
    </xf>
    <xf numFmtId="0" fontId="77" fillId="0" borderId="0" xfId="0" applyFont="1" applyAlignment="1" applyProtection="1">
      <alignment horizontal="center"/>
      <protection hidden="1"/>
    </xf>
    <xf numFmtId="0" fontId="77" fillId="10" borderId="0" xfId="0" applyFont="1" applyFill="1" applyProtection="1">
      <protection hidden="1"/>
    </xf>
    <xf numFmtId="0" fontId="84" fillId="10" borderId="0" xfId="0" applyFont="1" applyFill="1" applyProtection="1">
      <protection hidden="1"/>
    </xf>
    <xf numFmtId="15" fontId="77" fillId="0" borderId="0" xfId="0" applyNumberFormat="1" applyFont="1" applyAlignment="1" applyProtection="1">
      <alignment horizontal="center"/>
      <protection hidden="1"/>
    </xf>
    <xf numFmtId="165" fontId="77" fillId="10" borderId="0" xfId="0" applyNumberFormat="1" applyFont="1" applyFill="1" applyProtection="1">
      <protection hidden="1"/>
    </xf>
    <xf numFmtId="0" fontId="85" fillId="10" borderId="0" xfId="0" applyFont="1" applyFill="1" applyProtection="1">
      <protection hidden="1"/>
    </xf>
    <xf numFmtId="0" fontId="86" fillId="10" borderId="0" xfId="0" applyFont="1" applyFill="1" applyAlignment="1" applyProtection="1">
      <alignment horizontal="center"/>
      <protection hidden="1"/>
    </xf>
    <xf numFmtId="0" fontId="73" fillId="10" borderId="0" xfId="0" applyFont="1" applyFill="1" applyAlignment="1" applyProtection="1">
      <alignment horizontal="center"/>
      <protection hidden="1"/>
    </xf>
    <xf numFmtId="0" fontId="73" fillId="0" borderId="0" xfId="0" applyFont="1" applyAlignment="1" applyProtection="1">
      <alignment horizontal="center"/>
      <protection hidden="1"/>
    </xf>
    <xf numFmtId="0" fontId="73" fillId="10" borderId="0" xfId="0" applyFont="1" applyFill="1" applyProtection="1">
      <protection hidden="1"/>
    </xf>
    <xf numFmtId="0" fontId="74" fillId="10" borderId="0" xfId="0" applyFont="1" applyFill="1" applyProtection="1">
      <protection hidden="1"/>
    </xf>
    <xf numFmtId="15" fontId="73" fillId="10" borderId="0" xfId="0" applyNumberFormat="1" applyFont="1" applyFill="1" applyProtection="1">
      <protection hidden="1"/>
    </xf>
    <xf numFmtId="1" fontId="73" fillId="10" borderId="0" xfId="0" applyNumberFormat="1" applyFont="1" applyFill="1" applyAlignment="1" applyProtection="1">
      <alignment horizontal="center"/>
      <protection hidden="1"/>
    </xf>
    <xf numFmtId="14" fontId="73" fillId="10" borderId="0" xfId="0" applyNumberFormat="1" applyFont="1" applyFill="1" applyAlignment="1" applyProtection="1">
      <alignment horizontal="center"/>
      <protection hidden="1"/>
    </xf>
    <xf numFmtId="172" fontId="73" fillId="10" borderId="0" xfId="0" applyNumberFormat="1" applyFont="1" applyFill="1" applyProtection="1">
      <protection hidden="1"/>
    </xf>
    <xf numFmtId="0" fontId="75" fillId="0" borderId="0" xfId="0" applyFont="1" applyAlignment="1" applyProtection="1">
      <alignment horizontal="center"/>
      <protection hidden="1"/>
    </xf>
    <xf numFmtId="167" fontId="73" fillId="10" borderId="0" xfId="0" applyNumberFormat="1" applyFont="1" applyFill="1" applyProtection="1">
      <protection hidden="1"/>
    </xf>
    <xf numFmtId="0" fontId="87" fillId="10" borderId="0" xfId="0" applyFont="1" applyFill="1" applyAlignment="1" applyProtection="1">
      <alignment horizontal="right"/>
      <protection hidden="1"/>
    </xf>
    <xf numFmtId="0" fontId="87" fillId="10" borderId="0" xfId="0" applyFont="1" applyFill="1" applyAlignment="1" applyProtection="1">
      <alignment horizontal="center"/>
      <protection hidden="1"/>
    </xf>
    <xf numFmtId="0" fontId="75" fillId="10" borderId="0" xfId="0" applyFont="1" applyFill="1" applyProtection="1">
      <protection hidden="1"/>
    </xf>
    <xf numFmtId="165" fontId="73" fillId="10" borderId="0" xfId="0" applyNumberFormat="1" applyFont="1" applyFill="1" applyAlignment="1" applyProtection="1">
      <alignment horizontal="right"/>
      <protection hidden="1"/>
    </xf>
    <xf numFmtId="165" fontId="73" fillId="10" borderId="0" xfId="0" applyNumberFormat="1" applyFont="1" applyFill="1" applyProtection="1">
      <protection hidden="1"/>
    </xf>
    <xf numFmtId="0" fontId="73" fillId="10" borderId="0" xfId="0" applyFont="1" applyFill="1" applyAlignment="1" applyProtection="1">
      <alignment horizontal="right"/>
      <protection hidden="1"/>
    </xf>
    <xf numFmtId="0" fontId="86" fillId="10" borderId="0" xfId="0" applyFont="1" applyFill="1" applyProtection="1">
      <protection hidden="1"/>
    </xf>
    <xf numFmtId="3" fontId="73" fillId="0" borderId="0" xfId="0" applyNumberFormat="1" applyFont="1" applyAlignment="1" applyProtection="1">
      <alignment horizontal="center"/>
      <protection hidden="1"/>
    </xf>
    <xf numFmtId="165" fontId="77" fillId="10" borderId="0" xfId="0" applyNumberFormat="1" applyFont="1" applyFill="1" applyAlignment="1" applyProtection="1">
      <alignment horizontal="center"/>
      <protection hidden="1"/>
    </xf>
    <xf numFmtId="43" fontId="73" fillId="10" borderId="0" xfId="0" applyNumberFormat="1" applyFont="1" applyFill="1" applyAlignment="1" applyProtection="1">
      <alignment horizontal="right"/>
      <protection hidden="1"/>
    </xf>
    <xf numFmtId="169" fontId="73" fillId="0" borderId="0" xfId="0" applyNumberFormat="1" applyFont="1" applyAlignment="1" applyProtection="1">
      <alignment horizontal="center"/>
      <protection hidden="1"/>
    </xf>
    <xf numFmtId="170" fontId="73" fillId="10" borderId="0" xfId="0" applyNumberFormat="1" applyFont="1" applyFill="1" applyProtection="1">
      <protection hidden="1"/>
    </xf>
    <xf numFmtId="3" fontId="75" fillId="0" borderId="0" xfId="0" applyNumberFormat="1" applyFont="1" applyAlignment="1" applyProtection="1">
      <alignment horizontal="center"/>
      <protection hidden="1"/>
    </xf>
    <xf numFmtId="0" fontId="75" fillId="10" borderId="0" xfId="0" applyFont="1" applyFill="1" applyAlignment="1" applyProtection="1">
      <alignment horizontal="right"/>
      <protection hidden="1"/>
    </xf>
    <xf numFmtId="165" fontId="75" fillId="10" borderId="0" xfId="0" applyNumberFormat="1" applyFont="1" applyFill="1" applyProtection="1">
      <protection hidden="1"/>
    </xf>
    <xf numFmtId="165" fontId="74" fillId="10" borderId="0" xfId="0" applyNumberFormat="1" applyFont="1" applyFill="1" applyProtection="1">
      <protection hidden="1"/>
    </xf>
    <xf numFmtId="170" fontId="75" fillId="10" borderId="0" xfId="0" applyNumberFormat="1" applyFont="1" applyFill="1" applyProtection="1">
      <protection hidden="1"/>
    </xf>
    <xf numFmtId="3" fontId="74" fillId="0" borderId="0" xfId="0" applyNumberFormat="1" applyFont="1" applyAlignment="1" applyProtection="1">
      <alignment horizontal="center"/>
      <protection hidden="1"/>
    </xf>
    <xf numFmtId="0" fontId="73" fillId="10" borderId="0" xfId="0" applyFont="1" applyFill="1" applyAlignment="1" applyProtection="1">
      <alignment horizontal="left"/>
      <protection hidden="1"/>
    </xf>
    <xf numFmtId="43" fontId="73" fillId="10" borderId="0" xfId="0" applyNumberFormat="1" applyFont="1" applyFill="1" applyProtection="1">
      <protection hidden="1"/>
    </xf>
    <xf numFmtId="2" fontId="73" fillId="10" borderId="0" xfId="0" applyNumberFormat="1" applyFont="1" applyFill="1" applyProtection="1">
      <protection hidden="1"/>
    </xf>
    <xf numFmtId="173" fontId="73" fillId="10" borderId="0" xfId="0" applyNumberFormat="1" applyFont="1" applyFill="1" applyProtection="1">
      <protection hidden="1"/>
    </xf>
    <xf numFmtId="3" fontId="74" fillId="10" borderId="0" xfId="0" applyNumberFormat="1" applyFont="1" applyFill="1" applyAlignment="1" applyProtection="1">
      <alignment horizontal="center"/>
      <protection hidden="1"/>
    </xf>
    <xf numFmtId="3" fontId="76" fillId="0" borderId="0" xfId="0" applyNumberFormat="1" applyFont="1" applyAlignment="1" applyProtection="1">
      <alignment horizontal="center"/>
      <protection hidden="1"/>
    </xf>
    <xf numFmtId="43" fontId="76" fillId="10" borderId="0" xfId="1" applyFont="1" applyFill="1" applyProtection="1">
      <protection hidden="1"/>
    </xf>
    <xf numFmtId="3" fontId="76" fillId="10" borderId="0" xfId="1" applyNumberFormat="1" applyFont="1" applyFill="1" applyAlignment="1" applyProtection="1">
      <alignment horizontal="center"/>
      <protection hidden="1"/>
    </xf>
    <xf numFmtId="167" fontId="75" fillId="0" borderId="0" xfId="0" applyNumberFormat="1" applyFont="1" applyAlignment="1" applyProtection="1">
      <alignment horizontal="center"/>
      <protection hidden="1"/>
    </xf>
    <xf numFmtId="43" fontId="73" fillId="10" borderId="0" xfId="1" applyFont="1" applyFill="1" applyProtection="1">
      <protection hidden="1"/>
    </xf>
    <xf numFmtId="167" fontId="73" fillId="10" borderId="0" xfId="1" applyNumberFormat="1" applyFont="1" applyFill="1" applyProtection="1">
      <protection hidden="1"/>
    </xf>
    <xf numFmtId="167" fontId="77" fillId="10" borderId="0" xfId="0" applyNumberFormat="1" applyFont="1" applyFill="1" applyProtection="1">
      <protection hidden="1"/>
    </xf>
    <xf numFmtId="167" fontId="73" fillId="10" borderId="3" xfId="1" applyNumberFormat="1" applyFont="1" applyFill="1" applyBorder="1" applyProtection="1">
      <protection hidden="1"/>
    </xf>
    <xf numFmtId="167" fontId="74" fillId="0" borderId="0" xfId="0" applyNumberFormat="1" applyFont="1" applyAlignment="1" applyProtection="1">
      <alignment horizontal="center"/>
      <protection hidden="1"/>
    </xf>
    <xf numFmtId="43" fontId="77" fillId="10" borderId="0" xfId="1" applyFont="1" applyFill="1" applyProtection="1">
      <protection hidden="1"/>
    </xf>
    <xf numFmtId="167" fontId="77" fillId="10" borderId="0" xfId="1" applyNumberFormat="1" applyFont="1" applyFill="1" applyProtection="1">
      <protection hidden="1"/>
    </xf>
    <xf numFmtId="43" fontId="74" fillId="10" borderId="10" xfId="1" applyFont="1" applyFill="1" applyBorder="1" applyProtection="1">
      <protection hidden="1"/>
    </xf>
    <xf numFmtId="167" fontId="77" fillId="10" borderId="10" xfId="0" applyNumberFormat="1" applyFont="1" applyFill="1" applyBorder="1" applyProtection="1">
      <protection hidden="1"/>
    </xf>
    <xf numFmtId="0" fontId="87" fillId="10" borderId="0" xfId="0" applyFont="1" applyFill="1" applyProtection="1">
      <protection hidden="1"/>
    </xf>
    <xf numFmtId="0" fontId="87" fillId="10" borderId="0" xfId="0" applyFont="1" applyFill="1" applyBorder="1" applyProtection="1">
      <protection hidden="1"/>
    </xf>
    <xf numFmtId="0" fontId="77" fillId="10" borderId="0" xfId="0" applyFont="1" applyFill="1" applyBorder="1" applyProtection="1">
      <protection hidden="1"/>
    </xf>
    <xf numFmtId="0" fontId="77" fillId="10" borderId="0" xfId="0" applyFont="1" applyFill="1" applyBorder="1" applyAlignment="1" applyProtection="1">
      <alignment horizontal="center" vertical="center" wrapText="1"/>
      <protection hidden="1"/>
    </xf>
    <xf numFmtId="177" fontId="73" fillId="10" borderId="0" xfId="0" applyNumberFormat="1" applyFont="1" applyFill="1" applyProtection="1">
      <protection hidden="1"/>
    </xf>
    <xf numFmtId="176" fontId="75" fillId="10" borderId="0" xfId="0" applyNumberFormat="1" applyFont="1" applyFill="1" applyProtection="1">
      <protection hidden="1"/>
    </xf>
    <xf numFmtId="0" fontId="73" fillId="10" borderId="0" xfId="0" applyFont="1" applyFill="1" applyBorder="1" applyAlignment="1" applyProtection="1">
      <alignment wrapText="1"/>
      <protection hidden="1"/>
    </xf>
    <xf numFmtId="176" fontId="73" fillId="10" borderId="0" xfId="0" applyNumberFormat="1" applyFont="1" applyFill="1" applyBorder="1" applyAlignment="1" applyProtection="1">
      <alignment horizontal="right" wrapText="1"/>
      <protection hidden="1"/>
    </xf>
    <xf numFmtId="167" fontId="73" fillId="10" borderId="0" xfId="0" applyNumberFormat="1" applyFont="1" applyFill="1" applyBorder="1" applyProtection="1">
      <protection hidden="1"/>
    </xf>
    <xf numFmtId="179" fontId="73" fillId="10" borderId="0" xfId="0" applyNumberFormat="1" applyFont="1" applyFill="1" applyProtection="1">
      <protection hidden="1"/>
    </xf>
    <xf numFmtId="43" fontId="76" fillId="10" borderId="0" xfId="1" applyFont="1" applyFill="1" applyAlignment="1" applyProtection="1">
      <alignment horizontal="center"/>
      <protection hidden="1"/>
    </xf>
    <xf numFmtId="0" fontId="73" fillId="10" borderId="0" xfId="0" applyFont="1" applyFill="1" applyAlignment="1" applyProtection="1">
      <alignment horizontal="center" vertical="center" wrapText="1"/>
      <protection hidden="1"/>
    </xf>
    <xf numFmtId="167" fontId="87" fillId="10" borderId="0" xfId="0" applyNumberFormat="1" applyFont="1" applyFill="1" applyProtection="1">
      <protection hidden="1"/>
    </xf>
    <xf numFmtId="4" fontId="73" fillId="10" borderId="0" xfId="0" applyNumberFormat="1" applyFont="1" applyFill="1" applyProtection="1">
      <protection hidden="1"/>
    </xf>
    <xf numFmtId="167" fontId="73" fillId="10" borderId="0" xfId="0" applyNumberFormat="1" applyFont="1" applyFill="1" applyAlignment="1" applyProtection="1">
      <alignment horizontal="right"/>
      <protection hidden="1"/>
    </xf>
    <xf numFmtId="0" fontId="88" fillId="10" borderId="0" xfId="0" applyFont="1" applyFill="1" applyBorder="1" applyAlignment="1" applyProtection="1">
      <alignment wrapText="1"/>
      <protection hidden="1"/>
    </xf>
    <xf numFmtId="176" fontId="88" fillId="10" borderId="0" xfId="0" applyNumberFormat="1" applyFont="1" applyFill="1" applyBorder="1" applyAlignment="1" applyProtection="1">
      <alignment horizontal="right" wrapText="1"/>
      <protection hidden="1"/>
    </xf>
    <xf numFmtId="167" fontId="88" fillId="10" borderId="0" xfId="0" applyNumberFormat="1" applyFont="1" applyFill="1" applyBorder="1" applyProtection="1">
      <protection hidden="1"/>
    </xf>
    <xf numFmtId="179" fontId="73" fillId="10" borderId="0" xfId="0" applyNumberFormat="1" applyFont="1" applyFill="1" applyBorder="1" applyProtection="1">
      <protection hidden="1"/>
    </xf>
    <xf numFmtId="167" fontId="77" fillId="10" borderId="10" xfId="1" applyNumberFormat="1" applyFont="1" applyFill="1" applyBorder="1" applyProtection="1">
      <protection hidden="1"/>
    </xf>
    <xf numFmtId="0" fontId="74" fillId="10" borderId="0" xfId="0" applyFont="1" applyFill="1" applyAlignment="1" applyProtection="1">
      <alignment horizontal="center"/>
      <protection hidden="1"/>
    </xf>
    <xf numFmtId="167" fontId="75" fillId="10" borderId="0" xfId="0" applyNumberFormat="1" applyFont="1" applyFill="1" applyAlignment="1" applyProtection="1">
      <alignment horizontal="center"/>
      <protection hidden="1"/>
    </xf>
    <xf numFmtId="0" fontId="89" fillId="10" borderId="0" xfId="0" applyFont="1" applyFill="1" applyAlignment="1" applyProtection="1">
      <alignment horizontal="center"/>
      <protection hidden="1"/>
    </xf>
    <xf numFmtId="0" fontId="74" fillId="10" borderId="0" xfId="0" applyFont="1" applyFill="1" applyAlignment="1" applyProtection="1">
      <alignment horizontal="left"/>
      <protection hidden="1"/>
    </xf>
    <xf numFmtId="0" fontId="74" fillId="0" borderId="0" xfId="0" applyFont="1" applyAlignment="1" applyProtection="1">
      <alignment horizontal="center" vertical="center" wrapText="1"/>
      <protection hidden="1"/>
    </xf>
    <xf numFmtId="0" fontId="77" fillId="0" borderId="0" xfId="0" applyFont="1" applyProtection="1">
      <protection hidden="1"/>
    </xf>
    <xf numFmtId="167" fontId="74" fillId="10" borderId="0" xfId="0" applyNumberFormat="1" applyFont="1" applyFill="1" applyAlignment="1" applyProtection="1">
      <alignment horizontal="center" vertical="center" wrapText="1"/>
      <protection hidden="1"/>
    </xf>
    <xf numFmtId="0" fontId="74" fillId="10" borderId="0" xfId="0" applyFont="1" applyFill="1" applyAlignment="1" applyProtection="1">
      <alignment horizontal="center" vertical="center" wrapText="1"/>
      <protection hidden="1"/>
    </xf>
    <xf numFmtId="167" fontId="75" fillId="10" borderId="0" xfId="1" applyNumberFormat="1" applyFont="1" applyFill="1" applyAlignment="1" applyProtection="1">
      <alignment horizontal="right"/>
      <protection hidden="1"/>
    </xf>
    <xf numFmtId="172" fontId="75" fillId="10" borderId="0" xfId="0" applyNumberFormat="1" applyFont="1" applyFill="1" applyAlignment="1" applyProtection="1">
      <alignment horizontal="center"/>
      <protection hidden="1"/>
    </xf>
    <xf numFmtId="0" fontId="74" fillId="0" borderId="0" xfId="0" applyFont="1" applyProtection="1">
      <protection hidden="1"/>
    </xf>
    <xf numFmtId="167" fontId="74" fillId="0" borderId="0" xfId="0" applyNumberFormat="1" applyFont="1" applyAlignment="1" applyProtection="1">
      <alignment horizontal="left"/>
      <protection hidden="1"/>
    </xf>
    <xf numFmtId="167" fontId="75" fillId="10" borderId="10" xfId="1" applyNumberFormat="1" applyFont="1" applyFill="1" applyBorder="1" applyAlignment="1" applyProtection="1">
      <alignment horizontal="right"/>
      <protection hidden="1"/>
    </xf>
    <xf numFmtId="167" fontId="74" fillId="10" borderId="10" xfId="0" applyNumberFormat="1" applyFont="1" applyFill="1" applyBorder="1" applyAlignment="1" applyProtection="1">
      <alignment horizontal="center"/>
      <protection hidden="1"/>
    </xf>
    <xf numFmtId="0" fontId="90" fillId="10" borderId="0" xfId="0" applyFont="1" applyFill="1" applyProtection="1">
      <protection hidden="1"/>
    </xf>
    <xf numFmtId="0" fontId="73" fillId="0" borderId="0" xfId="0" applyFont="1" applyProtection="1">
      <protection hidden="1"/>
    </xf>
    <xf numFmtId="0" fontId="73" fillId="10" borderId="0" xfId="0" applyFont="1" applyFill="1" applyBorder="1" applyProtection="1">
      <protection hidden="1"/>
    </xf>
    <xf numFmtId="177" fontId="73" fillId="0" borderId="0" xfId="0" applyNumberFormat="1" applyFont="1" applyBorder="1" applyProtection="1">
      <protection hidden="1"/>
    </xf>
    <xf numFmtId="177" fontId="73" fillId="10" borderId="0" xfId="0" applyNumberFormat="1" applyFont="1" applyFill="1" applyBorder="1" applyProtection="1">
      <protection hidden="1"/>
    </xf>
    <xf numFmtId="0" fontId="88" fillId="10" borderId="0" xfId="0" applyFont="1" applyFill="1" applyBorder="1" applyProtection="1">
      <protection hidden="1"/>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95" fillId="0" borderId="0" xfId="0" applyFont="1" applyAlignment="1">
      <alignment horizontal="center" vertical="center"/>
    </xf>
    <xf numFmtId="0" fontId="1" fillId="0" borderId="0" xfId="0" applyFont="1" applyAlignment="1">
      <alignment horizontal="center" wrapText="1"/>
    </xf>
    <xf numFmtId="0" fontId="0" fillId="0" borderId="3" xfId="0" applyBorder="1" applyAlignment="1">
      <alignment horizontal="center" wrapText="1"/>
    </xf>
    <xf numFmtId="3" fontId="73" fillId="0" borderId="1" xfId="0" applyNumberFormat="1" applyFont="1" applyBorder="1" applyAlignment="1" applyProtection="1">
      <alignment horizontal="center" wrapText="1"/>
      <protection hidden="1"/>
    </xf>
    <xf numFmtId="1" fontId="7" fillId="2" borderId="6" xfId="1" applyNumberFormat="1" applyFont="1" applyFill="1" applyBorder="1" applyAlignment="1">
      <alignment horizontal="center"/>
    </xf>
    <xf numFmtId="1" fontId="7" fillId="2" borderId="3" xfId="1" applyNumberFormat="1" applyFont="1" applyFill="1" applyBorder="1" applyAlignment="1">
      <alignment horizontal="center"/>
    </xf>
    <xf numFmtId="1" fontId="11" fillId="3" borderId="1" xfId="1" applyNumberFormat="1" applyFont="1" applyFill="1" applyBorder="1" applyAlignment="1">
      <alignment horizontal="left" vertical="top"/>
    </xf>
    <xf numFmtId="1" fontId="11" fillId="3" borderId="0" xfId="1" applyNumberFormat="1" applyFont="1" applyFill="1" applyBorder="1" applyAlignment="1">
      <alignment horizontal="left" vertical="top"/>
    </xf>
    <xf numFmtId="0" fontId="71" fillId="12" borderId="0" xfId="0" applyFont="1" applyFill="1" applyAlignment="1">
      <alignment horizontal="center"/>
    </xf>
    <xf numFmtId="0" fontId="39" fillId="0" borderId="0" xfId="0" applyFont="1" applyAlignment="1">
      <alignment horizontal="left" wrapText="1"/>
    </xf>
    <xf numFmtId="0" fontId="56" fillId="0" borderId="0" xfId="0" applyFont="1" applyAlignment="1" applyProtection="1">
      <alignment horizontal="center" wrapText="1"/>
      <protection hidden="1"/>
    </xf>
    <xf numFmtId="0" fontId="50" fillId="0" borderId="0" xfId="0" applyFont="1" applyAlignment="1">
      <alignment horizontal="center" vertical="center" wrapText="1"/>
    </xf>
    <xf numFmtId="0" fontId="50" fillId="0" borderId="0" xfId="0" applyFont="1" applyAlignment="1">
      <alignment horizontal="center" vertical="center"/>
    </xf>
    <xf numFmtId="0" fontId="25" fillId="0" borderId="0" xfId="0" applyFont="1" applyAlignment="1" applyProtection="1">
      <alignment horizontal="left" wrapText="1"/>
      <protection hidden="1"/>
    </xf>
  </cellXfs>
  <cellStyles count="4">
    <cellStyle name="Comma" xfId="1" builtinId="3"/>
    <cellStyle name="Hyperlink" xfId="2" builtinId="8"/>
    <cellStyle name="Normal" xfId="0" builtinId="0"/>
    <cellStyle name="Percent" xfId="3" builtinId="5"/>
  </cellStyles>
  <dxfs count="7">
    <dxf>
      <font>
        <strike val="0"/>
        <outline val="0"/>
        <shadow val="0"/>
        <vertAlign val="baseline"/>
        <color rgb="FFFF0000"/>
        <name val="Arial"/>
        <family val="2"/>
        <scheme val="none"/>
      </font>
      <fill>
        <patternFill patternType="none">
          <fgColor indexed="64"/>
          <bgColor theme="0"/>
        </patternFill>
      </fill>
      <protection locked="1" hidden="1"/>
    </dxf>
    <dxf>
      <font>
        <strike val="0"/>
        <outline val="0"/>
        <shadow val="0"/>
        <vertAlign val="baseline"/>
        <color rgb="FFFF0000"/>
        <name val="Arial"/>
        <family val="2"/>
        <scheme val="none"/>
      </font>
      <fill>
        <patternFill patternType="none">
          <fgColor indexed="64"/>
          <bgColor theme="0"/>
        </patternFill>
      </fill>
      <protection locked="1" hidden="1"/>
    </dxf>
    <dxf>
      <font>
        <b/>
        <i val="0"/>
        <strike val="0"/>
        <condense val="0"/>
        <extend val="0"/>
        <outline val="0"/>
        <shadow val="0"/>
        <u val="none"/>
        <vertAlign val="baseline"/>
        <sz val="10"/>
        <color rgb="FFFF0000"/>
        <name val="Arial"/>
        <family val="2"/>
        <scheme val="none"/>
      </font>
      <fill>
        <patternFill patternType="none">
          <fgColor indexed="64"/>
          <bgColor theme="0"/>
        </patternFill>
      </fill>
      <protection locked="1" hidden="1"/>
    </dxf>
    <dxf>
      <font>
        <color rgb="FFFF0000"/>
      </font>
    </dxf>
    <dxf>
      <font>
        <b val="0"/>
        <i val="0"/>
        <strike val="0"/>
        <color theme="0"/>
      </font>
      <fill>
        <patternFill>
          <bgColor rgb="FFFF0000"/>
        </patternFill>
      </fill>
    </dxf>
    <dxf>
      <font>
        <b val="0"/>
        <i val="0"/>
        <color rgb="FFFF0000"/>
      </font>
      <fill>
        <patternFill patternType="none">
          <bgColor auto="1"/>
        </patternFill>
      </fill>
    </dxf>
    <dxf>
      <fill>
        <patternFill>
          <bgColor indexed="8"/>
        </patternFill>
      </fill>
    </dxf>
  </dxfs>
  <tableStyles count="0" defaultTableStyle="TableStyleMedium2" defaultPivotStyle="PivotStyleLight16"/>
  <colors>
    <mruColors>
      <color rgb="FF00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37540</xdr:colOff>
      <xdr:row>41</xdr:row>
      <xdr:rowOff>103094</xdr:rowOff>
    </xdr:from>
    <xdr:to>
      <xdr:col>2</xdr:col>
      <xdr:colOff>2950029</xdr:colOff>
      <xdr:row>47</xdr:row>
      <xdr:rowOff>206749</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37540" y="7810180"/>
          <a:ext cx="5949603" cy="10833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en-IE" sz="1100" b="1" i="0" u="sng" baseline="0">
              <a:effectLst/>
              <a:latin typeface="+mn-lt"/>
              <a:ea typeface="+mn-ea"/>
              <a:cs typeface="+mn-cs"/>
            </a:rPr>
            <a:t>These are the maximum estimated figures</a:t>
          </a:r>
          <a:endParaRPr lang="en-IE" sz="1000">
            <a:effectLst/>
          </a:endParaRPr>
        </a:p>
        <a:p>
          <a:pPr rtl="0"/>
          <a:r>
            <a:rPr lang="en-IE" sz="1100" b="0" i="0" baseline="0">
              <a:effectLst/>
              <a:latin typeface="+mn-lt"/>
              <a:ea typeface="+mn-ea"/>
              <a:cs typeface="+mn-cs"/>
            </a:rPr>
            <a:t>Without full justification, we cannot allow students to borrow over the maximum costs  indicated on this form. Please note any requested increase must satisfy the US Department of Education's definition of educational expenses. For example an increased educational need due to certified medical costs, or dependents.  </a:t>
          </a:r>
          <a:r>
            <a:rPr lang="en-IE" sz="1100" b="0" i="0">
              <a:effectLst/>
              <a:latin typeface="+mn-lt"/>
              <a:ea typeface="+mn-ea"/>
              <a:cs typeface="+mn-cs"/>
            </a:rPr>
            <a:t>The definition of educational expenses is as per the US Department of Education’s regulations:</a:t>
          </a:r>
          <a:r>
            <a:rPr lang="en-IE" sz="1100" b="0" i="0" baseline="0">
              <a:effectLst/>
              <a:latin typeface="+mn-lt"/>
              <a:ea typeface="+mn-ea"/>
              <a:cs typeface="+mn-cs"/>
            </a:rPr>
            <a:t> </a:t>
          </a:r>
          <a:r>
            <a:rPr lang="en-IE" sz="1100" b="0" i="0">
              <a:effectLst/>
              <a:latin typeface="+mn-lt"/>
              <a:ea typeface="+mn-ea"/>
              <a:cs typeface="+mn-cs"/>
              <a:hlinkClick xmlns:r="http://schemas.openxmlformats.org/officeDocument/2006/relationships" r:id=""/>
            </a:rPr>
            <a:t>https://studentaid.ed.gov/sa/</a:t>
          </a:r>
          <a:endParaRPr lang="en-IE" sz="1100" b="0" i="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IE" sz="1000">
            <a:effectLst/>
          </a:endParaRPr>
        </a:p>
      </xdr:txBody>
    </xdr:sp>
    <xdr:clientData/>
  </xdr:twoCellAnchor>
  <xdr:twoCellAnchor>
    <xdr:from>
      <xdr:col>0</xdr:col>
      <xdr:colOff>156882</xdr:colOff>
      <xdr:row>60</xdr:row>
      <xdr:rowOff>78439</xdr:rowOff>
    </xdr:from>
    <xdr:to>
      <xdr:col>1</xdr:col>
      <xdr:colOff>907676</xdr:colOff>
      <xdr:row>68</xdr:row>
      <xdr:rowOff>0</xdr:rowOff>
    </xdr:to>
    <xdr:sp macro="" textlink="">
      <xdr:nvSpPr>
        <xdr:cNvPr id="7" name="Text Box 1">
          <a:extLst>
            <a:ext uri="{FF2B5EF4-FFF2-40B4-BE49-F238E27FC236}">
              <a16:creationId xmlns:a16="http://schemas.microsoft.com/office/drawing/2014/main" id="{00000000-0008-0000-0200-000007000000}"/>
            </a:ext>
          </a:extLst>
        </xdr:cNvPr>
        <xdr:cNvSpPr txBox="1">
          <a:spLocks noChangeArrowheads="1"/>
        </xdr:cNvSpPr>
      </xdr:nvSpPr>
      <xdr:spPr bwMode="auto">
        <a:xfrm>
          <a:off x="156882" y="11696698"/>
          <a:ext cx="2785782" cy="15800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r>
            <a:rPr lang="en-IE" sz="1100" b="1" i="0" u="sng" baseline="0">
              <a:effectLst/>
              <a:latin typeface="+mn-lt"/>
              <a:ea typeface="+mn-ea"/>
              <a:cs typeface="+mn-cs"/>
            </a:rPr>
            <a:t>Euro Value (€) for Total Requested Cost of Attendance:</a:t>
          </a:r>
        </a:p>
        <a:p>
          <a:pPr algn="ctr" rtl="0"/>
          <a:r>
            <a:rPr lang="en-IE" sz="1100" b="0" i="0" u="none" baseline="0">
              <a:effectLst/>
              <a:latin typeface="+mn-lt"/>
              <a:ea typeface="+mn-ea"/>
              <a:cs typeface="+mn-cs"/>
            </a:rPr>
            <a:t>Once you have completed the necessary sections required to generate your 'Total Requested Cost of Attendance, the text box below will display that amount in Euros (€). Please remember the </a:t>
          </a:r>
          <a:r>
            <a:rPr lang="en-IE" sz="1100" b="0" i="0">
              <a:effectLst/>
              <a:latin typeface="+mn-lt"/>
              <a:ea typeface="+mn-ea"/>
              <a:cs typeface="+mn-cs"/>
            </a:rPr>
            <a:t>conservative </a:t>
          </a:r>
          <a:r>
            <a:rPr lang="en-IE" sz="1100" b="0" i="0" u="none" baseline="0">
              <a:effectLst/>
              <a:latin typeface="+mn-lt"/>
              <a:ea typeface="+mn-ea"/>
              <a:cs typeface="+mn-cs"/>
            </a:rPr>
            <a:t>exchange rate we utilize for COA purposes when declaring how much you would like to borrow.</a:t>
          </a:r>
        </a:p>
      </xdr:txBody>
    </xdr:sp>
    <xdr:clientData/>
  </xdr:twoCellAnchor>
  <xdr:oneCellAnchor>
    <xdr:from>
      <xdr:col>0</xdr:col>
      <xdr:colOff>853888</xdr:colOff>
      <xdr:row>68</xdr:row>
      <xdr:rowOff>53788</xdr:rowOff>
    </xdr:from>
    <xdr:ext cx="1568824" cy="248851"/>
    <xdr:sp macro="" textlink="$G$71">
      <xdr:nvSpPr>
        <xdr:cNvPr id="3" name="TextBox 2">
          <a:extLst>
            <a:ext uri="{FF2B5EF4-FFF2-40B4-BE49-F238E27FC236}">
              <a16:creationId xmlns:a16="http://schemas.microsoft.com/office/drawing/2014/main" id="{00000000-0008-0000-0200-000003000000}"/>
            </a:ext>
          </a:extLst>
        </xdr:cNvPr>
        <xdr:cNvSpPr txBox="1"/>
      </xdr:nvSpPr>
      <xdr:spPr>
        <a:xfrm>
          <a:off x="853888" y="13330517"/>
          <a:ext cx="1568824" cy="24885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lgn="ctr"/>
          <a:fld id="{D2DE2E70-2C1F-40BE-A38C-0229B14B7D42}" type="TxLink">
            <a:rPr lang="en-US" sz="1000" b="0" i="0" u="none" strike="noStrike" cap="none" spc="0">
              <a:ln w="0"/>
              <a:solidFill>
                <a:srgbClr val="000000"/>
              </a:solidFill>
              <a:effectLst>
                <a:outerShdw blurRad="38100" dist="19050" dir="2700000" algn="tl" rotWithShape="0">
                  <a:schemeClr val="dk1">
                    <a:alpha val="40000"/>
                  </a:schemeClr>
                </a:outerShdw>
              </a:effectLst>
              <a:latin typeface="Arial"/>
              <a:cs typeface="Arial"/>
            </a:rPr>
            <a:pPr algn="ctr"/>
            <a:t>€19,670.00</a:t>
          </a:fld>
          <a:endParaRPr lang="en-IE" sz="16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0</xdr:col>
      <xdr:colOff>190500</xdr:colOff>
      <xdr:row>0</xdr:row>
      <xdr:rowOff>95249</xdr:rowOff>
    </xdr:from>
    <xdr:to>
      <xdr:col>2</xdr:col>
      <xdr:colOff>709084</xdr:colOff>
      <xdr:row>9</xdr:row>
      <xdr:rowOff>10582</xdr:rowOff>
    </xdr:to>
    <xdr:pic>
      <xdr:nvPicPr>
        <xdr:cNvPr id="6" name="Picture 5">
          <a:extLst>
            <a:ext uri="{FF2B5EF4-FFF2-40B4-BE49-F238E27FC236}">
              <a16:creationId xmlns:a16="http://schemas.microsoft.com/office/drawing/2014/main" id="{880A943D-B12D-4DEE-A3BD-B0ABC3C83ECA}"/>
            </a:ext>
          </a:extLst>
        </xdr:cNvPr>
        <xdr:cNvPicPr/>
      </xdr:nvPicPr>
      <xdr:blipFill>
        <a:blip xmlns:r="http://schemas.openxmlformats.org/officeDocument/2006/relationships" r:embed="rId1" cstate="print"/>
        <a:srcRect l="11891" t="20819" r="11891" b="12812"/>
        <a:stretch>
          <a:fillRect/>
        </a:stretch>
      </xdr:blipFill>
      <xdr:spPr bwMode="auto">
        <a:xfrm>
          <a:off x="190500" y="95249"/>
          <a:ext cx="3481917" cy="166158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G8:G10" totalsRowShown="0" headerRowDxfId="2" dataDxfId="1">
  <autoFilter ref="G8:G10" xr:uid="{00000000-0009-0000-0100-000001000000}"/>
  <tableColumns count="1">
    <tableColumn id="1" xr3:uid="{00000000-0010-0000-0000-000001000000}" name="Depen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46"/>
  <sheetViews>
    <sheetView showGridLines="0" showRowColHeaders="0" workbookViewId="0">
      <selection activeCell="A2" sqref="A2"/>
    </sheetView>
  </sheetViews>
  <sheetFormatPr defaultRowHeight="12.75" x14ac:dyDescent="0.2"/>
  <cols>
    <col min="1" max="1" width="122.85546875" style="71" bestFit="1" customWidth="1"/>
  </cols>
  <sheetData>
    <row r="1" spans="1:1" s="107" customFormat="1" ht="20.25" x14ac:dyDescent="0.3">
      <c r="A1" s="399" t="s">
        <v>149</v>
      </c>
    </row>
    <row r="2" spans="1:1" s="107" customFormat="1" ht="18" x14ac:dyDescent="0.25">
      <c r="A2" s="72"/>
    </row>
    <row r="3" spans="1:1" x14ac:dyDescent="0.2">
      <c r="A3" s="108" t="s">
        <v>140</v>
      </c>
    </row>
    <row r="4" spans="1:1" x14ac:dyDescent="0.2">
      <c r="A4" s="73" t="s">
        <v>131</v>
      </c>
    </row>
    <row r="5" spans="1:1" x14ac:dyDescent="0.2">
      <c r="A5" s="73" t="s">
        <v>132</v>
      </c>
    </row>
    <row r="6" spans="1:1" x14ac:dyDescent="0.2">
      <c r="A6" s="400" t="s">
        <v>437</v>
      </c>
    </row>
    <row r="8" spans="1:1" x14ac:dyDescent="0.2">
      <c r="A8" s="109" t="s">
        <v>134</v>
      </c>
    </row>
    <row r="9" spans="1:1" x14ac:dyDescent="0.2">
      <c r="A9" s="73" t="s">
        <v>133</v>
      </c>
    </row>
    <row r="10" spans="1:1" x14ac:dyDescent="0.2">
      <c r="A10" s="73" t="s">
        <v>265</v>
      </c>
    </row>
    <row r="11" spans="1:1" x14ac:dyDescent="0.2">
      <c r="A11" s="73" t="s">
        <v>266</v>
      </c>
    </row>
    <row r="12" spans="1:1" x14ac:dyDescent="0.2">
      <c r="A12" s="73"/>
    </row>
    <row r="13" spans="1:1" s="47" customFormat="1" ht="15.75" x14ac:dyDescent="0.25">
      <c r="A13" s="108" t="s">
        <v>351</v>
      </c>
    </row>
    <row r="14" spans="1:1" x14ac:dyDescent="0.2">
      <c r="A14" s="71" t="s">
        <v>166</v>
      </c>
    </row>
    <row r="15" spans="1:1" x14ac:dyDescent="0.2">
      <c r="A15" s="73" t="s">
        <v>171</v>
      </c>
    </row>
    <row r="16" spans="1:1" x14ac:dyDescent="0.2">
      <c r="A16" s="73" t="s">
        <v>268</v>
      </c>
    </row>
    <row r="17" spans="1:1" x14ac:dyDescent="0.2">
      <c r="A17" s="73" t="s">
        <v>264</v>
      </c>
    </row>
    <row r="18" spans="1:1" x14ac:dyDescent="0.2">
      <c r="A18" s="73" t="s">
        <v>170</v>
      </c>
    </row>
    <row r="19" spans="1:1" x14ac:dyDescent="0.2">
      <c r="A19" s="73" t="s">
        <v>135</v>
      </c>
    </row>
    <row r="20" spans="1:1" x14ac:dyDescent="0.2">
      <c r="A20" s="73" t="s">
        <v>136</v>
      </c>
    </row>
    <row r="21" spans="1:1" x14ac:dyDescent="0.2">
      <c r="A21" s="73" t="s">
        <v>174</v>
      </c>
    </row>
    <row r="23" spans="1:1" s="47" customFormat="1" ht="15.75" x14ac:dyDescent="0.25">
      <c r="A23" s="108" t="s">
        <v>260</v>
      </c>
    </row>
    <row r="24" spans="1:1" x14ac:dyDescent="0.2">
      <c r="A24" s="71" t="s">
        <v>438</v>
      </c>
    </row>
    <row r="25" spans="1:1" x14ac:dyDescent="0.2">
      <c r="A25" s="73" t="s">
        <v>261</v>
      </c>
    </row>
    <row r="26" spans="1:1" x14ac:dyDescent="0.2">
      <c r="A26" s="400" t="s">
        <v>262</v>
      </c>
    </row>
    <row r="28" spans="1:1" s="47" customFormat="1" ht="15.75" x14ac:dyDescent="0.25">
      <c r="A28" s="108" t="s">
        <v>263</v>
      </c>
    </row>
    <row r="29" spans="1:1" s="51" customFormat="1" x14ac:dyDescent="0.2">
      <c r="A29" s="73" t="s">
        <v>267</v>
      </c>
    </row>
    <row r="30" spans="1:1" x14ac:dyDescent="0.2">
      <c r="A30" s="73" t="s">
        <v>303</v>
      </c>
    </row>
    <row r="31" spans="1:1" s="51" customFormat="1" x14ac:dyDescent="0.2">
      <c r="A31" s="70"/>
    </row>
    <row r="32" spans="1:1" x14ac:dyDescent="0.2">
      <c r="A32" s="108" t="s">
        <v>439</v>
      </c>
    </row>
    <row r="33" spans="1:1" x14ac:dyDescent="0.2">
      <c r="A33" s="73" t="s">
        <v>154</v>
      </c>
    </row>
    <row r="34" spans="1:1" x14ac:dyDescent="0.2">
      <c r="A34" s="73" t="s">
        <v>304</v>
      </c>
    </row>
    <row r="35" spans="1:1" x14ac:dyDescent="0.2">
      <c r="A35" s="400" t="s">
        <v>305</v>
      </c>
    </row>
    <row r="36" spans="1:1" x14ac:dyDescent="0.2">
      <c r="A36" s="74"/>
    </row>
    <row r="37" spans="1:1" x14ac:dyDescent="0.2">
      <c r="A37" s="108" t="s">
        <v>352</v>
      </c>
    </row>
    <row r="38" spans="1:1" x14ac:dyDescent="0.2">
      <c r="A38" s="110" t="s">
        <v>440</v>
      </c>
    </row>
    <row r="39" spans="1:1" x14ac:dyDescent="0.2">
      <c r="A39" s="110"/>
    </row>
    <row r="40" spans="1:1" x14ac:dyDescent="0.2">
      <c r="A40" s="110"/>
    </row>
    <row r="41" spans="1:1" x14ac:dyDescent="0.2">
      <c r="A41" s="110"/>
    </row>
    <row r="43" spans="1:1" x14ac:dyDescent="0.2">
      <c r="A43" s="108"/>
    </row>
    <row r="44" spans="1:1" x14ac:dyDescent="0.2">
      <c r="A44" s="73"/>
    </row>
    <row r="45" spans="1:1" x14ac:dyDescent="0.2">
      <c r="A45" s="73"/>
    </row>
    <row r="46" spans="1:1" x14ac:dyDescent="0.2">
      <c r="A46" s="73"/>
    </row>
  </sheetData>
  <sheetProtection selectLockedCells="1"/>
  <phoneticPr fontId="5"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3"/>
  <sheetViews>
    <sheetView workbookViewId="0">
      <selection activeCell="M41" sqref="M41"/>
    </sheetView>
  </sheetViews>
  <sheetFormatPr defaultRowHeight="12.75" x14ac:dyDescent="0.2"/>
  <cols>
    <col min="2" max="4" width="10.140625" bestFit="1" customWidth="1"/>
    <col min="5" max="5" width="11.28515625" bestFit="1" customWidth="1"/>
    <col min="6" max="6" width="9.28515625" bestFit="1" customWidth="1"/>
    <col min="7" max="7" width="10.28515625" bestFit="1" customWidth="1"/>
  </cols>
  <sheetData>
    <row r="1" spans="1:7" x14ac:dyDescent="0.2">
      <c r="A1" s="319" t="s">
        <v>410</v>
      </c>
      <c r="B1" s="319">
        <v>6060</v>
      </c>
      <c r="C1" s="320">
        <v>7575</v>
      </c>
      <c r="D1" s="319"/>
      <c r="E1" s="306"/>
      <c r="F1" s="319">
        <v>3297</v>
      </c>
      <c r="G1" s="306">
        <v>4121.25</v>
      </c>
    </row>
    <row r="2" spans="1:7" x14ac:dyDescent="0.2">
      <c r="A2" s="319" t="s">
        <v>415</v>
      </c>
      <c r="B2" s="319">
        <v>6792</v>
      </c>
      <c r="C2" s="320">
        <v>8490</v>
      </c>
      <c r="D2" s="319">
        <v>8944</v>
      </c>
      <c r="E2" s="306">
        <v>11180</v>
      </c>
      <c r="F2" s="319">
        <v>3666</v>
      </c>
      <c r="G2" s="306">
        <v>4582.5</v>
      </c>
    </row>
    <row r="3" spans="1:7" x14ac:dyDescent="0.2">
      <c r="A3" s="319" t="s">
        <v>416</v>
      </c>
      <c r="B3" s="319">
        <v>6792</v>
      </c>
      <c r="C3" s="320">
        <v>8490</v>
      </c>
      <c r="D3" s="319"/>
      <c r="E3" s="306"/>
      <c r="F3" s="319">
        <v>3666</v>
      </c>
      <c r="G3" s="306">
        <v>4582.5</v>
      </c>
    </row>
    <row r="4" spans="1:7" x14ac:dyDescent="0.2">
      <c r="A4" s="319" t="s">
        <v>417</v>
      </c>
      <c r="B4" s="319">
        <v>8334</v>
      </c>
      <c r="C4" s="320">
        <v>10417.5</v>
      </c>
      <c r="D4" s="319"/>
      <c r="E4" s="306"/>
      <c r="F4" s="319">
        <v>4435</v>
      </c>
      <c r="G4" s="306">
        <v>5543.75</v>
      </c>
    </row>
    <row r="5" spans="1:7" x14ac:dyDescent="0.2">
      <c r="A5" s="319" t="s">
        <v>411</v>
      </c>
      <c r="B5" s="319">
        <v>8334</v>
      </c>
      <c r="C5" s="320">
        <v>10417.5</v>
      </c>
      <c r="D5" s="319">
        <v>10974</v>
      </c>
      <c r="E5" s="306">
        <v>13717.5</v>
      </c>
      <c r="F5" s="319">
        <v>4435</v>
      </c>
      <c r="G5" s="306">
        <v>5543.75</v>
      </c>
    </row>
    <row r="6" spans="1:7" x14ac:dyDescent="0.2">
      <c r="A6" s="319" t="s">
        <v>418</v>
      </c>
      <c r="B6" s="319">
        <v>8334</v>
      </c>
      <c r="C6" s="320">
        <v>10417.5</v>
      </c>
      <c r="D6" s="319">
        <v>10974</v>
      </c>
      <c r="E6" s="306">
        <v>13717.5</v>
      </c>
      <c r="F6" s="319">
        <v>4435</v>
      </c>
      <c r="G6" s="306">
        <v>5543.75</v>
      </c>
    </row>
    <row r="7" spans="1:7" x14ac:dyDescent="0.2">
      <c r="A7" s="319" t="s">
        <v>419</v>
      </c>
      <c r="B7" s="319">
        <v>8334</v>
      </c>
      <c r="C7" s="320">
        <v>10417.5</v>
      </c>
      <c r="D7" s="319"/>
      <c r="E7" s="306"/>
      <c r="F7" s="319">
        <v>4435</v>
      </c>
      <c r="G7" s="306">
        <v>5543.75</v>
      </c>
    </row>
    <row r="8" spans="1:7" x14ac:dyDescent="0.2">
      <c r="A8" s="319" t="s">
        <v>420</v>
      </c>
      <c r="B8" s="319">
        <v>8436</v>
      </c>
      <c r="C8" s="320">
        <v>10545</v>
      </c>
      <c r="D8" s="319"/>
      <c r="E8" s="306"/>
      <c r="F8" s="319">
        <v>4485</v>
      </c>
      <c r="G8" s="306">
        <v>5606.25</v>
      </c>
    </row>
    <row r="9" spans="1:7" x14ac:dyDescent="0.2">
      <c r="A9" s="319" t="s">
        <v>412</v>
      </c>
      <c r="B9" s="319">
        <v>10710</v>
      </c>
      <c r="C9" s="320">
        <v>13387.5</v>
      </c>
      <c r="D9" s="319"/>
      <c r="E9" s="306"/>
      <c r="F9" s="319">
        <v>5623</v>
      </c>
      <c r="G9" s="306">
        <v>7028.75</v>
      </c>
    </row>
    <row r="10" spans="1:7" x14ac:dyDescent="0.2">
      <c r="A10" s="35"/>
      <c r="B10" s="35"/>
      <c r="C10" s="35"/>
      <c r="D10" s="35"/>
      <c r="E10" s="35"/>
      <c r="F10" s="35"/>
      <c r="G10" s="35"/>
    </row>
    <row r="11" spans="1:7" x14ac:dyDescent="0.2">
      <c r="A11" s="35"/>
      <c r="B11" s="35"/>
      <c r="C11" s="35"/>
      <c r="D11" s="35"/>
      <c r="E11" s="35"/>
      <c r="F11" s="35"/>
      <c r="G11" s="35"/>
    </row>
    <row r="12" spans="1:7" x14ac:dyDescent="0.2">
      <c r="A12" s="35"/>
      <c r="B12" s="35"/>
      <c r="C12" s="35"/>
      <c r="D12" s="35"/>
      <c r="E12" s="35"/>
      <c r="F12" s="35"/>
      <c r="G12" s="35"/>
    </row>
    <row r="13" spans="1:7" x14ac:dyDescent="0.2">
      <c r="A13" s="35"/>
      <c r="B13" s="35"/>
      <c r="C13" s="35"/>
      <c r="D13" s="35"/>
      <c r="E13" s="35"/>
      <c r="F13" s="35"/>
      <c r="G13" s="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32"/>
  <sheetViews>
    <sheetView showGridLines="0" showRowColHeaders="0" workbookViewId="0">
      <selection activeCell="B15" sqref="B15"/>
    </sheetView>
  </sheetViews>
  <sheetFormatPr defaultRowHeight="12.75" x14ac:dyDescent="0.2"/>
  <cols>
    <col min="1" max="1" width="24.140625" style="62" customWidth="1"/>
    <col min="2" max="2" width="100.140625" style="59" customWidth="1"/>
  </cols>
  <sheetData>
    <row r="1" spans="1:2" s="60" customFormat="1" ht="18" x14ac:dyDescent="0.25">
      <c r="A1" s="515" t="s">
        <v>155</v>
      </c>
      <c r="B1" s="515"/>
    </row>
    <row r="2" spans="1:2" ht="18" x14ac:dyDescent="0.2">
      <c r="A2" s="61"/>
    </row>
    <row r="3" spans="1:2" ht="63.75" x14ac:dyDescent="0.2">
      <c r="A3" s="234" t="s">
        <v>150</v>
      </c>
      <c r="B3" s="236" t="s">
        <v>353</v>
      </c>
    </row>
    <row r="4" spans="1:2" x14ac:dyDescent="0.2">
      <c r="A4" s="233"/>
    </row>
    <row r="5" spans="1:2" ht="51" x14ac:dyDescent="0.2">
      <c r="A5" s="235" t="s">
        <v>1</v>
      </c>
      <c r="B5" s="236" t="s">
        <v>390</v>
      </c>
    </row>
    <row r="6" spans="1:2" x14ac:dyDescent="0.2">
      <c r="A6" s="232"/>
      <c r="B6" s="231"/>
    </row>
    <row r="7" spans="1:2" ht="25.5" x14ac:dyDescent="0.2">
      <c r="A7" s="235" t="s">
        <v>7</v>
      </c>
      <c r="B7" s="236" t="s">
        <v>354</v>
      </c>
    </row>
    <row r="8" spans="1:2" x14ac:dyDescent="0.2">
      <c r="A8" s="232"/>
      <c r="B8" s="231"/>
    </row>
    <row r="9" spans="1:2" x14ac:dyDescent="0.2">
      <c r="A9" s="235" t="s">
        <v>3</v>
      </c>
      <c r="B9" s="236" t="s">
        <v>355</v>
      </c>
    </row>
    <row r="10" spans="1:2" x14ac:dyDescent="0.2">
      <c r="A10" s="232"/>
      <c r="B10" s="231"/>
    </row>
    <row r="11" spans="1:2" x14ac:dyDescent="0.2">
      <c r="A11" s="235" t="s">
        <v>30</v>
      </c>
      <c r="B11" s="237" t="s">
        <v>301</v>
      </c>
    </row>
    <row r="12" spans="1:2" x14ac:dyDescent="0.2">
      <c r="A12" s="232"/>
      <c r="B12" s="231"/>
    </row>
    <row r="13" spans="1:2" x14ac:dyDescent="0.2">
      <c r="A13" s="235" t="s">
        <v>2</v>
      </c>
      <c r="B13" s="237" t="s">
        <v>389</v>
      </c>
    </row>
    <row r="14" spans="1:2" x14ac:dyDescent="0.2">
      <c r="A14" s="232"/>
      <c r="B14" s="231"/>
    </row>
    <row r="15" spans="1:2" x14ac:dyDescent="0.2">
      <c r="A15" s="234" t="s">
        <v>151</v>
      </c>
      <c r="B15" s="236" t="s">
        <v>356</v>
      </c>
    </row>
    <row r="16" spans="1:2" x14ac:dyDescent="0.2">
      <c r="A16" s="232"/>
      <c r="B16" s="231"/>
    </row>
    <row r="17" spans="1:2" x14ac:dyDescent="0.2">
      <c r="A17" s="234" t="s">
        <v>152</v>
      </c>
      <c r="B17" s="237" t="s">
        <v>333</v>
      </c>
    </row>
    <row r="18" spans="1:2" x14ac:dyDescent="0.2">
      <c r="A18" s="232"/>
      <c r="B18" s="231"/>
    </row>
    <row r="19" spans="1:2" x14ac:dyDescent="0.2">
      <c r="A19" s="234" t="s">
        <v>441</v>
      </c>
      <c r="B19" s="236" t="s">
        <v>442</v>
      </c>
    </row>
    <row r="20" spans="1:2" x14ac:dyDescent="0.2">
      <c r="A20" s="232"/>
      <c r="B20" s="231"/>
    </row>
    <row r="21" spans="1:2" ht="51" x14ac:dyDescent="0.2">
      <c r="A21" s="234" t="s">
        <v>153</v>
      </c>
      <c r="B21" s="236" t="s">
        <v>357</v>
      </c>
    </row>
    <row r="22" spans="1:2" x14ac:dyDescent="0.2">
      <c r="A22" s="232"/>
      <c r="B22" s="231"/>
    </row>
    <row r="23" spans="1:2" x14ac:dyDescent="0.2">
      <c r="A23" s="234" t="s">
        <v>192</v>
      </c>
      <c r="B23" s="237" t="s">
        <v>391</v>
      </c>
    </row>
    <row r="24" spans="1:2" x14ac:dyDescent="0.2">
      <c r="A24" s="232"/>
      <c r="B24" s="231"/>
    </row>
    <row r="25" spans="1:2" x14ac:dyDescent="0.2">
      <c r="A25" s="232"/>
      <c r="B25" s="231"/>
    </row>
    <row r="26" spans="1:2" x14ac:dyDescent="0.2">
      <c r="A26" s="512" t="s">
        <v>156</v>
      </c>
      <c r="B26" s="238" t="s">
        <v>157</v>
      </c>
    </row>
    <row r="27" spans="1:2" x14ac:dyDescent="0.2">
      <c r="A27" s="513"/>
      <c r="B27" s="239" t="s">
        <v>308</v>
      </c>
    </row>
    <row r="28" spans="1:2" x14ac:dyDescent="0.2">
      <c r="A28" s="514"/>
      <c r="B28" s="240" t="s">
        <v>334</v>
      </c>
    </row>
    <row r="29" spans="1:2" x14ac:dyDescent="0.2">
      <c r="A29" s="232"/>
      <c r="B29" s="231"/>
    </row>
    <row r="30" spans="1:2" x14ac:dyDescent="0.2">
      <c r="A30" s="512" t="s">
        <v>158</v>
      </c>
      <c r="B30" s="241" t="s">
        <v>443</v>
      </c>
    </row>
    <row r="31" spans="1:2" x14ac:dyDescent="0.2">
      <c r="A31" s="513"/>
      <c r="B31" s="242" t="s">
        <v>395</v>
      </c>
    </row>
    <row r="32" spans="1:2" ht="51" x14ac:dyDescent="0.2">
      <c r="A32" s="514"/>
      <c r="B32" s="401" t="s">
        <v>358</v>
      </c>
    </row>
  </sheetData>
  <sheetProtection selectLockedCells="1"/>
  <mergeCells count="3">
    <mergeCell ref="A26:A28"/>
    <mergeCell ref="A30:A32"/>
    <mergeCell ref="A1:B1"/>
  </mergeCells>
  <phoneticPr fontId="5" type="noConversion"/>
  <pageMargins left="0.75" right="0.75" top="1" bottom="1" header="0.5" footer="0.5"/>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F173"/>
  <sheetViews>
    <sheetView showGridLines="0" tabSelected="1" topLeftCell="A19" zoomScale="90" zoomScaleNormal="90" workbookViewId="0">
      <selection activeCell="D22" sqref="D22"/>
    </sheetView>
  </sheetViews>
  <sheetFormatPr defaultColWidth="9.140625" defaultRowHeight="12.75" x14ac:dyDescent="0.2"/>
  <cols>
    <col min="1" max="1" width="29.7109375" style="33" bestFit="1" customWidth="1"/>
    <col min="2" max="2" width="14.7109375" style="33" customWidth="1"/>
    <col min="3" max="3" width="96.42578125" customWidth="1"/>
    <col min="4" max="4" width="34.5703125" style="15" bestFit="1" customWidth="1"/>
    <col min="5" max="5" width="21.42578125" style="15" customWidth="1"/>
    <col min="6" max="6" width="41" style="427" hidden="1" customWidth="1"/>
    <col min="7" max="7" width="45.28515625" style="507" hidden="1" customWidth="1"/>
    <col min="8" max="8" width="62.28515625" style="507" hidden="1" customWidth="1"/>
    <col min="9" max="9" width="18.5703125" style="507" hidden="1" customWidth="1"/>
    <col min="10" max="10" width="20.85546875" style="507" hidden="1" customWidth="1"/>
    <col min="11" max="11" width="15.85546875" style="507" hidden="1" customWidth="1"/>
    <col min="12" max="12" width="20.5703125" style="507" hidden="1" customWidth="1"/>
    <col min="13" max="13" width="20.140625" style="507" hidden="1" customWidth="1"/>
    <col min="14" max="14" width="16.140625" style="507" hidden="1" customWidth="1"/>
    <col min="15" max="15" width="12.140625" style="507" hidden="1" customWidth="1"/>
    <col min="16" max="16" width="11.85546875" style="507" hidden="1" customWidth="1"/>
    <col min="17" max="17" width="37.28515625" style="507" hidden="1" customWidth="1"/>
    <col min="18" max="18" width="10.85546875" style="507" hidden="1" customWidth="1"/>
    <col min="19" max="19" width="12" style="394" customWidth="1"/>
    <col min="20" max="20" width="10.42578125" style="394" customWidth="1"/>
    <col min="21" max="21" width="11.140625" style="394" customWidth="1"/>
    <col min="22" max="22" width="10.140625" style="394" customWidth="1"/>
    <col min="23" max="23" width="43.85546875" style="394" customWidth="1"/>
    <col min="24" max="26" width="9.140625" style="394" customWidth="1"/>
    <col min="27" max="27" width="9.140625" style="230"/>
  </cols>
  <sheetData>
    <row r="1" spans="1:30" s="97" customFormat="1" ht="20.25" x14ac:dyDescent="0.3">
      <c r="A1" s="2"/>
      <c r="B1" s="2"/>
      <c r="D1" s="3"/>
      <c r="E1" s="4"/>
      <c r="F1" s="416"/>
      <c r="G1" s="417"/>
      <c r="H1" s="417"/>
      <c r="I1" s="417"/>
      <c r="J1" s="417"/>
      <c r="K1" s="417"/>
      <c r="L1" s="418"/>
      <c r="M1" s="418"/>
      <c r="N1" s="418"/>
      <c r="O1" s="418"/>
      <c r="P1" s="418"/>
      <c r="Q1" s="418"/>
      <c r="R1" s="418"/>
      <c r="S1" s="390"/>
      <c r="T1" s="390"/>
      <c r="U1" s="390"/>
      <c r="V1" s="390"/>
      <c r="W1" s="390"/>
      <c r="X1" s="390"/>
      <c r="Y1" s="390"/>
      <c r="Z1" s="390"/>
      <c r="AA1" s="307"/>
      <c r="AB1" s="308"/>
      <c r="AC1" s="308"/>
      <c r="AD1" s="308"/>
    </row>
    <row r="2" spans="1:30" s="97" customFormat="1" ht="18" customHeight="1" x14ac:dyDescent="0.3">
      <c r="A2" s="2"/>
      <c r="B2" s="2"/>
      <c r="C2" s="111" t="s">
        <v>23</v>
      </c>
      <c r="D2" s="3"/>
      <c r="E2" s="4" t="s">
        <v>432</v>
      </c>
      <c r="F2" s="416"/>
      <c r="G2" s="418"/>
      <c r="H2" s="417"/>
      <c r="I2" s="417"/>
      <c r="J2" s="418"/>
      <c r="K2" s="418"/>
      <c r="L2" s="418"/>
      <c r="M2" s="418"/>
      <c r="N2" s="418"/>
      <c r="O2" s="418"/>
      <c r="P2" s="418"/>
      <c r="Q2" s="418"/>
      <c r="R2" s="418"/>
      <c r="S2" s="390"/>
      <c r="T2" s="390"/>
      <c r="U2" s="390"/>
      <c r="V2" s="390"/>
      <c r="W2" s="390"/>
      <c r="X2" s="390"/>
      <c r="Y2" s="390"/>
      <c r="Z2" s="390"/>
      <c r="AA2" s="307"/>
      <c r="AB2" s="308"/>
      <c r="AC2" s="308"/>
      <c r="AD2" s="308"/>
    </row>
    <row r="3" spans="1:30" s="78" customFormat="1" ht="18" customHeight="1" x14ac:dyDescent="0.3">
      <c r="A3" s="5"/>
      <c r="B3" s="5"/>
      <c r="C3" s="111" t="s">
        <v>24</v>
      </c>
      <c r="D3" s="7"/>
      <c r="E3" s="8"/>
      <c r="F3" s="419"/>
      <c r="G3" s="420"/>
      <c r="H3" s="421"/>
      <c r="I3" s="421"/>
      <c r="J3" s="420"/>
      <c r="K3" s="420"/>
      <c r="L3" s="420"/>
      <c r="M3" s="420"/>
      <c r="N3" s="420"/>
      <c r="O3" s="420"/>
      <c r="P3" s="420"/>
      <c r="Q3" s="420"/>
      <c r="R3" s="420"/>
      <c r="S3" s="391"/>
      <c r="T3" s="391"/>
      <c r="U3" s="391"/>
      <c r="V3" s="391"/>
      <c r="W3" s="391"/>
      <c r="X3" s="391"/>
      <c r="Y3" s="391"/>
      <c r="Z3" s="391"/>
      <c r="AA3" s="309"/>
      <c r="AB3" s="310"/>
      <c r="AC3" s="310"/>
      <c r="AD3" s="310"/>
    </row>
    <row r="4" spans="1:30" s="78" customFormat="1" ht="18" customHeight="1" x14ac:dyDescent="0.3">
      <c r="A4" s="5"/>
      <c r="B4" s="5"/>
      <c r="C4" s="111" t="str">
        <f>"for Academic Year "&amp; 'School DATA (Locked)'!D6</f>
        <v>for Academic Year 2022/23</v>
      </c>
      <c r="F4" s="419"/>
      <c r="G4" s="420"/>
      <c r="H4" s="421"/>
      <c r="I4" s="421"/>
      <c r="J4" s="420"/>
      <c r="K4" s="420"/>
      <c r="L4" s="420"/>
      <c r="M4" s="420"/>
      <c r="N4" s="420"/>
      <c r="O4" s="420"/>
      <c r="P4" s="420"/>
      <c r="Q4" s="420"/>
      <c r="R4" s="420"/>
      <c r="S4" s="391"/>
      <c r="T4" s="391"/>
      <c r="U4" s="391"/>
      <c r="V4" s="391"/>
      <c r="W4" s="391"/>
      <c r="X4" s="391"/>
      <c r="Y4" s="391"/>
      <c r="Z4" s="391"/>
      <c r="AA4" s="309"/>
      <c r="AB4" s="310"/>
      <c r="AC4" s="310"/>
      <c r="AD4" s="310"/>
    </row>
    <row r="5" spans="1:30" s="78" customFormat="1" x14ac:dyDescent="0.2">
      <c r="A5" s="5"/>
      <c r="B5" s="5"/>
      <c r="C5" s="6"/>
      <c r="F5" s="422"/>
      <c r="G5" s="420"/>
      <c r="H5" s="423">
        <f>'School DATA (Locked)'!H48</f>
        <v>48156</v>
      </c>
      <c r="I5" s="424" t="s">
        <v>22</v>
      </c>
      <c r="J5" s="421"/>
      <c r="K5" s="421"/>
      <c r="L5" s="420"/>
      <c r="M5" s="420"/>
      <c r="N5" s="420"/>
      <c r="O5" s="420"/>
      <c r="P5" s="420"/>
      <c r="Q5" s="420"/>
      <c r="R5" s="420"/>
      <c r="S5" s="391"/>
      <c r="T5" s="391"/>
      <c r="U5" s="391"/>
      <c r="V5" s="391"/>
      <c r="W5" s="391"/>
      <c r="X5" s="391"/>
      <c r="Y5" s="391"/>
      <c r="Z5" s="391"/>
      <c r="AA5" s="309"/>
      <c r="AB5" s="310"/>
      <c r="AC5" s="310"/>
      <c r="AD5" s="310"/>
    </row>
    <row r="6" spans="1:30" s="78" customFormat="1" x14ac:dyDescent="0.2">
      <c r="A6" s="5"/>
      <c r="B6" s="5"/>
      <c r="C6" s="98" t="s">
        <v>287</v>
      </c>
      <c r="E6" s="102">
        <f>'School DATA (Locked)'!I29</f>
        <v>44686</v>
      </c>
      <c r="F6" s="422"/>
      <c r="G6" s="420"/>
      <c r="H6" s="423">
        <f>'School DATA (Locked)'!H50</f>
        <v>50191.072560000001</v>
      </c>
      <c r="I6" s="424" t="s">
        <v>142</v>
      </c>
      <c r="J6" s="421"/>
      <c r="K6" s="421"/>
      <c r="L6" s="420"/>
      <c r="M6" s="420"/>
      <c r="N6" s="420"/>
      <c r="O6" s="420"/>
      <c r="P6" s="420"/>
      <c r="Q6" s="420"/>
      <c r="R6" s="420"/>
      <c r="S6" s="391"/>
      <c r="T6" s="391"/>
      <c r="U6" s="391"/>
      <c r="V6" s="391"/>
      <c r="W6" s="391"/>
      <c r="X6" s="391"/>
      <c r="Y6" s="391"/>
      <c r="Z6" s="391"/>
      <c r="AA6" s="309"/>
      <c r="AB6" s="310"/>
      <c r="AC6" s="310"/>
      <c r="AD6" s="310"/>
    </row>
    <row r="7" spans="1:30" s="78" customFormat="1" x14ac:dyDescent="0.2">
      <c r="A7" s="5"/>
      <c r="B7" s="5"/>
      <c r="C7" s="6" t="s">
        <v>324</v>
      </c>
      <c r="D7" s="78">
        <f>'School DATA (Locked)'!H44</f>
        <v>1.2</v>
      </c>
      <c r="E7" s="102"/>
      <c r="F7" s="419"/>
      <c r="G7" s="420"/>
      <c r="H7" s="424"/>
      <c r="I7" s="421"/>
      <c r="J7" s="420"/>
      <c r="K7" s="420"/>
      <c r="L7" s="420"/>
      <c r="M7" s="420"/>
      <c r="N7" s="420"/>
      <c r="O7" s="420"/>
      <c r="P7" s="420"/>
      <c r="Q7" s="420"/>
      <c r="R7" s="420"/>
      <c r="S7" s="391"/>
      <c r="T7" s="391"/>
      <c r="U7" s="391"/>
      <c r="V7" s="391"/>
      <c r="W7" s="391"/>
      <c r="X7" s="391"/>
      <c r="Y7" s="391"/>
      <c r="Z7" s="391"/>
      <c r="AA7" s="309"/>
      <c r="AB7" s="310"/>
      <c r="AC7" s="310"/>
      <c r="AD7" s="310"/>
    </row>
    <row r="8" spans="1:30" s="78" customFormat="1" x14ac:dyDescent="0.2">
      <c r="A8" s="5"/>
      <c r="B8" s="5"/>
      <c r="C8" s="10" t="s">
        <v>173</v>
      </c>
      <c r="D8" s="9"/>
      <c r="E8" s="77">
        <f>'School DATA (Locked)'!I30</f>
        <v>44927</v>
      </c>
      <c r="F8" s="419"/>
      <c r="G8" s="420" t="s">
        <v>65</v>
      </c>
      <c r="H8" s="425" t="s">
        <v>19</v>
      </c>
      <c r="I8" s="425" t="s">
        <v>20</v>
      </c>
      <c r="J8" s="425" t="s">
        <v>408</v>
      </c>
      <c r="K8" s="420"/>
      <c r="L8" s="420"/>
      <c r="M8" s="420"/>
      <c r="N8" s="420"/>
      <c r="O8" s="420"/>
      <c r="P8" s="420"/>
      <c r="Q8" s="420"/>
      <c r="R8" s="420"/>
      <c r="S8" s="391"/>
      <c r="T8" s="391"/>
      <c r="U8" s="391"/>
      <c r="V8" s="391"/>
      <c r="W8" s="391"/>
      <c r="X8" s="391"/>
      <c r="Y8" s="391"/>
      <c r="Z8" s="391"/>
      <c r="AA8" s="309"/>
      <c r="AB8" s="310"/>
      <c r="AC8" s="310"/>
      <c r="AD8" s="310"/>
    </row>
    <row r="9" spans="1:30" s="78" customFormat="1" x14ac:dyDescent="0.2">
      <c r="A9" s="5"/>
      <c r="B9" s="5"/>
      <c r="C9" s="10" t="s">
        <v>38</v>
      </c>
      <c r="D9" s="11">
        <f>'School DATA (Locked)'!E11</f>
        <v>38</v>
      </c>
      <c r="E9" s="8"/>
      <c r="F9" s="419"/>
      <c r="G9" s="420" t="s">
        <v>63</v>
      </c>
      <c r="H9" s="426" t="s">
        <v>5</v>
      </c>
      <c r="I9" s="426">
        <v>1</v>
      </c>
      <c r="J9" s="426">
        <v>2</v>
      </c>
      <c r="K9" s="420"/>
      <c r="L9" s="420"/>
      <c r="M9" s="420"/>
      <c r="N9" s="420"/>
      <c r="O9" s="420"/>
      <c r="P9" s="420"/>
      <c r="Q9" s="420"/>
      <c r="R9" s="420"/>
      <c r="S9" s="391"/>
      <c r="T9" s="391"/>
      <c r="U9" s="391"/>
      <c r="V9" s="391"/>
      <c r="W9" s="391"/>
      <c r="X9" s="391"/>
      <c r="Y9" s="391"/>
      <c r="Z9" s="391"/>
      <c r="AA9" s="309"/>
      <c r="AB9" s="310"/>
      <c r="AC9" s="310"/>
      <c r="AD9" s="310"/>
    </row>
    <row r="10" spans="1:30" x14ac:dyDescent="0.2">
      <c r="A10" s="12"/>
      <c r="B10" s="12"/>
      <c r="C10" s="10" t="s">
        <v>39</v>
      </c>
      <c r="D10" s="11">
        <f>'School DATA (Locked)'!E13</f>
        <v>52</v>
      </c>
      <c r="E10" s="8"/>
      <c r="G10" s="428" t="s">
        <v>64</v>
      </c>
      <c r="H10" s="426" t="s">
        <v>4</v>
      </c>
      <c r="I10" s="426">
        <v>2</v>
      </c>
      <c r="J10" s="426">
        <v>3</v>
      </c>
      <c r="K10" s="428"/>
      <c r="L10" s="428"/>
      <c r="M10" s="428"/>
      <c r="N10" s="428"/>
      <c r="O10" s="428"/>
      <c r="P10" s="428"/>
      <c r="Q10" s="428"/>
      <c r="R10" s="428"/>
      <c r="S10" s="392"/>
      <c r="T10" s="392"/>
      <c r="U10" s="392"/>
      <c r="V10" s="392"/>
      <c r="W10" s="392"/>
      <c r="X10" s="392"/>
      <c r="Y10" s="392"/>
      <c r="Z10" s="392"/>
      <c r="AA10" s="311"/>
      <c r="AB10" s="312"/>
      <c r="AC10" s="312"/>
      <c r="AD10" s="312"/>
    </row>
    <row r="11" spans="1:30" ht="13.5" thickBot="1" x14ac:dyDescent="0.25">
      <c r="A11" s="12"/>
      <c r="B11" s="12"/>
      <c r="C11" s="13"/>
      <c r="D11" s="14"/>
      <c r="G11" s="428"/>
      <c r="H11" s="426"/>
      <c r="I11" s="426" t="s">
        <v>317</v>
      </c>
      <c r="J11" s="428"/>
      <c r="K11" s="428"/>
      <c r="L11" s="428"/>
      <c r="M11" s="420" t="s">
        <v>147</v>
      </c>
      <c r="N11" s="420"/>
      <c r="O11" s="428"/>
      <c r="P11" s="428"/>
      <c r="Q11" s="428"/>
      <c r="R11" s="428"/>
      <c r="S11" s="392"/>
      <c r="T11" s="392"/>
      <c r="U11" s="392"/>
      <c r="V11" s="392"/>
      <c r="W11" s="392"/>
      <c r="X11" s="392"/>
      <c r="Y11" s="392"/>
      <c r="Z11" s="392"/>
      <c r="AA11" s="311"/>
      <c r="AB11" s="312"/>
      <c r="AC11" s="312"/>
      <c r="AD11" s="312"/>
    </row>
    <row r="12" spans="1:30" ht="18.75" thickBot="1" x14ac:dyDescent="0.3">
      <c r="A12" s="112">
        <v>1</v>
      </c>
      <c r="B12" s="113"/>
      <c r="C12" s="114" t="s">
        <v>289</v>
      </c>
      <c r="D12" s="115"/>
      <c r="E12" s="116"/>
      <c r="G12" s="428" t="s">
        <v>291</v>
      </c>
      <c r="H12" s="429" t="s">
        <v>46</v>
      </c>
      <c r="I12" s="429" t="s">
        <v>87</v>
      </c>
      <c r="J12" s="428"/>
      <c r="K12" s="428"/>
      <c r="L12" s="429" t="s">
        <v>190</v>
      </c>
      <c r="M12" s="429" t="s">
        <v>92</v>
      </c>
      <c r="N12" s="420" t="s">
        <v>148</v>
      </c>
      <c r="O12" s="428"/>
      <c r="P12" s="428"/>
      <c r="Q12" s="428"/>
      <c r="R12" s="428"/>
      <c r="S12" s="392"/>
      <c r="T12" s="392"/>
      <c r="U12" s="392"/>
      <c r="V12" s="392"/>
      <c r="W12" s="392"/>
      <c r="X12" s="392"/>
      <c r="Y12" s="392"/>
      <c r="Z12" s="392"/>
      <c r="AA12" s="311"/>
      <c r="AB12" s="312"/>
      <c r="AC12" s="312"/>
      <c r="AD12" s="312"/>
    </row>
    <row r="13" spans="1:30" x14ac:dyDescent="0.2">
      <c r="A13" s="16"/>
      <c r="B13" s="57"/>
      <c r="C13" s="17"/>
      <c r="D13" s="18"/>
      <c r="E13" s="19"/>
      <c r="G13" s="428" t="s">
        <v>292</v>
      </c>
      <c r="H13" s="426" t="s">
        <v>88</v>
      </c>
      <c r="I13" s="426" t="s">
        <v>89</v>
      </c>
      <c r="J13" s="430">
        <f>'School DATA (Locked)'!D7</f>
        <v>44805</v>
      </c>
      <c r="K13" s="428"/>
      <c r="L13" s="431">
        <f>COUNT(M13:M19)</f>
        <v>2</v>
      </c>
      <c r="M13" s="432">
        <f>IF(('School DATA (Locked)'!D18&gt;10/10/2010),'School DATA (Locked)'!D18,"")</f>
        <v>44849</v>
      </c>
      <c r="N13" s="433">
        <f>ROUND((IF((ISNUMBER(M13)),(D92/L13),"")),0)</f>
        <v>12232</v>
      </c>
      <c r="O13" s="433"/>
      <c r="P13" s="428"/>
      <c r="Q13" s="428"/>
      <c r="R13" s="428"/>
      <c r="S13" s="392"/>
      <c r="T13" s="392"/>
      <c r="U13" s="392"/>
      <c r="V13" s="392"/>
      <c r="W13" s="392"/>
      <c r="X13" s="392"/>
      <c r="Y13" s="392"/>
      <c r="Z13" s="392"/>
      <c r="AA13" s="311"/>
      <c r="AB13" s="312"/>
      <c r="AC13" s="312"/>
      <c r="AD13" s="312"/>
    </row>
    <row r="14" spans="1:30" ht="15.75" x14ac:dyDescent="0.25">
      <c r="A14" s="117" t="s">
        <v>73</v>
      </c>
      <c r="B14" s="58"/>
      <c r="C14" s="79" t="s">
        <v>125</v>
      </c>
      <c r="D14" s="20"/>
      <c r="E14" s="21"/>
      <c r="F14" s="434"/>
      <c r="G14" s="428"/>
      <c r="H14" s="426"/>
      <c r="I14" s="426" t="s">
        <v>90</v>
      </c>
      <c r="J14" s="430">
        <f>'School DATA (Locked)'!D11</f>
        <v>45077</v>
      </c>
      <c r="K14" s="428"/>
      <c r="L14" s="426" t="s">
        <v>144</v>
      </c>
      <c r="M14" s="432">
        <f>IF(('School DATA (Locked)'!D19&gt;10/10/2010),'School DATA (Locked)'!D19,"")</f>
        <v>44941</v>
      </c>
      <c r="N14" s="433">
        <f>ROUND((IF((ISNUMBER(M14)),(D92/L13),"")),0)</f>
        <v>12232</v>
      </c>
      <c r="O14" s="428"/>
      <c r="P14" s="428"/>
      <c r="Q14" s="428"/>
      <c r="R14" s="428"/>
      <c r="S14" s="392"/>
      <c r="T14" s="392"/>
      <c r="U14" s="392"/>
      <c r="V14" s="392"/>
      <c r="W14" s="392"/>
      <c r="X14" s="392"/>
      <c r="Y14" s="392"/>
      <c r="Z14" s="392"/>
      <c r="AA14" s="311"/>
      <c r="AB14" s="312"/>
      <c r="AC14" s="312"/>
      <c r="AD14" s="312"/>
    </row>
    <row r="15" spans="1:30" ht="15.75" x14ac:dyDescent="0.25">
      <c r="A15" s="118" t="s">
        <v>315</v>
      </c>
      <c r="B15" s="139"/>
      <c r="C15" s="79" t="s">
        <v>126</v>
      </c>
      <c r="D15" s="20"/>
      <c r="E15" s="21"/>
      <c r="F15" s="434"/>
      <c r="G15" s="428"/>
      <c r="H15" s="426" t="s">
        <v>91</v>
      </c>
      <c r="I15" s="426" t="s">
        <v>89</v>
      </c>
      <c r="J15" s="430">
        <f>'School DATA (Locked)'!D7</f>
        <v>44805</v>
      </c>
      <c r="K15" s="428"/>
      <c r="L15" s="426" t="s">
        <v>145</v>
      </c>
      <c r="M15" s="432" t="str">
        <f>IF(('School DATA (Locked)'!D20&gt;10/10/2010),'School DATA (Locked)'!D20,"")</f>
        <v/>
      </c>
      <c r="N15" s="433" t="e">
        <f>ROUND((IF((ISNUMBER(M15)),(D92/L13),"")),0)</f>
        <v>#VALUE!</v>
      </c>
      <c r="O15" s="428"/>
      <c r="P15" s="428"/>
      <c r="Q15" s="428"/>
      <c r="R15" s="428"/>
      <c r="S15" s="392"/>
      <c r="T15" s="392"/>
      <c r="U15" s="392"/>
      <c r="V15" s="392"/>
      <c r="W15" s="392"/>
      <c r="X15" s="392"/>
      <c r="Y15" s="392"/>
      <c r="Z15" s="392"/>
      <c r="AA15" s="311"/>
      <c r="AB15" s="312"/>
      <c r="AC15" s="312"/>
      <c r="AD15" s="312"/>
    </row>
    <row r="16" spans="1:30" ht="15" x14ac:dyDescent="0.2">
      <c r="A16" s="117" t="s">
        <v>66</v>
      </c>
      <c r="B16" s="58"/>
      <c r="C16" s="81" t="s">
        <v>127</v>
      </c>
      <c r="D16" s="20"/>
      <c r="E16" s="21"/>
      <c r="F16" s="434"/>
      <c r="G16" s="428"/>
      <c r="H16" s="426"/>
      <c r="I16" s="426" t="s">
        <v>90</v>
      </c>
      <c r="J16" s="430">
        <f>'School DATA (Locked)'!E7</f>
        <v>45167</v>
      </c>
      <c r="K16" s="428"/>
      <c r="L16" s="426" t="s">
        <v>146</v>
      </c>
      <c r="M16" s="432" t="str">
        <f>IF(('School DATA (Locked)'!D21&gt;10/10/2010),'School DATA (Locked)'!D21,"")</f>
        <v/>
      </c>
      <c r="N16" s="433" t="str">
        <f>IF((ISNUMBER(M16)),(ROUND((D92/L13),0)),"")</f>
        <v/>
      </c>
      <c r="O16" s="433"/>
      <c r="P16" s="428"/>
      <c r="Q16" s="428"/>
      <c r="R16" s="428"/>
      <c r="S16" s="392"/>
      <c r="T16" s="392"/>
      <c r="U16" s="392"/>
      <c r="V16" s="392"/>
      <c r="W16" s="392"/>
      <c r="X16" s="392"/>
      <c r="Y16" s="392"/>
      <c r="Z16" s="392"/>
      <c r="AA16" s="311"/>
      <c r="AB16" s="312"/>
      <c r="AC16" s="312"/>
      <c r="AD16" s="312"/>
    </row>
    <row r="17" spans="1:30" ht="15" x14ac:dyDescent="0.2">
      <c r="A17" s="117" t="s">
        <v>67</v>
      </c>
      <c r="B17" s="58"/>
      <c r="C17" s="81" t="s">
        <v>128</v>
      </c>
      <c r="D17" s="20"/>
      <c r="E17" s="21"/>
      <c r="F17" s="434"/>
      <c r="G17" s="428" t="s">
        <v>338</v>
      </c>
      <c r="H17" s="428"/>
      <c r="I17" s="428"/>
      <c r="J17" s="428"/>
      <c r="K17" s="428"/>
      <c r="L17" s="428"/>
      <c r="M17" s="428"/>
      <c r="N17" s="433" t="e">
        <f>SUM(N13:N16)</f>
        <v>#VALUE!</v>
      </c>
      <c r="O17" s="433"/>
      <c r="P17" s="428"/>
      <c r="Q17" s="428"/>
      <c r="R17" s="428"/>
      <c r="S17" s="392"/>
      <c r="T17" s="392"/>
      <c r="U17" s="392"/>
      <c r="V17" s="392"/>
      <c r="W17" s="392"/>
      <c r="X17" s="392"/>
      <c r="Y17" s="392"/>
      <c r="Z17" s="392"/>
      <c r="AA17" s="311"/>
      <c r="AB17" s="312"/>
      <c r="AC17" s="312"/>
      <c r="AD17" s="312"/>
    </row>
    <row r="18" spans="1:30" ht="15" x14ac:dyDescent="0.2">
      <c r="A18" s="293" t="s">
        <v>68</v>
      </c>
      <c r="B18" s="58"/>
      <c r="C18" s="81" t="s">
        <v>129</v>
      </c>
      <c r="D18" s="20" t="s">
        <v>458</v>
      </c>
      <c r="E18" s="21"/>
      <c r="F18" s="434"/>
      <c r="G18" s="428" t="s">
        <v>339</v>
      </c>
      <c r="H18" s="428"/>
      <c r="I18" s="428"/>
      <c r="J18" s="428"/>
      <c r="K18" s="428"/>
      <c r="L18" s="428"/>
      <c r="M18" s="428"/>
      <c r="N18" s="428"/>
      <c r="O18" s="428"/>
      <c r="P18" s="428"/>
      <c r="Q18" s="428"/>
      <c r="R18" s="428"/>
      <c r="S18" s="392"/>
      <c r="T18" s="392"/>
      <c r="U18" s="392"/>
      <c r="V18" s="392"/>
      <c r="W18" s="392"/>
      <c r="X18" s="392"/>
      <c r="Y18" s="392"/>
      <c r="Z18" s="392"/>
      <c r="AA18" s="311"/>
      <c r="AB18" s="312"/>
      <c r="AC18" s="312"/>
      <c r="AD18" s="312"/>
    </row>
    <row r="19" spans="1:30" ht="15" x14ac:dyDescent="0.2">
      <c r="A19" s="117" t="s">
        <v>69</v>
      </c>
      <c r="B19" s="58"/>
      <c r="C19" s="81" t="s">
        <v>130</v>
      </c>
      <c r="D19" s="20"/>
      <c r="E19" s="21"/>
      <c r="F19" s="434"/>
      <c r="G19" s="428" t="s">
        <v>340</v>
      </c>
      <c r="H19" s="428"/>
      <c r="I19" s="428"/>
      <c r="J19" s="428"/>
      <c r="K19" s="428"/>
      <c r="L19" s="428"/>
      <c r="M19" s="428"/>
      <c r="N19" s="428"/>
      <c r="O19" s="428"/>
      <c r="P19" s="428"/>
      <c r="Q19" s="428"/>
      <c r="R19" s="428"/>
      <c r="S19" s="392"/>
      <c r="T19" s="392"/>
      <c r="U19" s="392"/>
      <c r="V19" s="392"/>
      <c r="W19" s="392"/>
      <c r="X19" s="392"/>
      <c r="Y19" s="392"/>
      <c r="Z19" s="392"/>
      <c r="AA19" s="311"/>
      <c r="AB19" s="312"/>
      <c r="AC19" s="312"/>
      <c r="AD19" s="312"/>
    </row>
    <row r="20" spans="1:30" ht="15.75" x14ac:dyDescent="0.25">
      <c r="A20" s="293" t="s">
        <v>394</v>
      </c>
      <c r="B20" s="58"/>
      <c r="C20" s="81" t="s">
        <v>196</v>
      </c>
      <c r="D20" s="20"/>
      <c r="E20" s="21"/>
      <c r="F20" s="434"/>
      <c r="G20" s="428" t="s">
        <v>341</v>
      </c>
      <c r="H20" s="428"/>
      <c r="I20" s="428"/>
      <c r="J20" s="428"/>
      <c r="K20" s="429"/>
      <c r="L20" s="428"/>
      <c r="M20" s="428"/>
      <c r="N20" s="428"/>
      <c r="O20" s="428"/>
      <c r="P20" s="428"/>
      <c r="Q20" s="420"/>
      <c r="R20" s="428"/>
      <c r="S20" s="392"/>
      <c r="T20" s="392"/>
      <c r="U20" s="392"/>
      <c r="V20" s="392"/>
      <c r="W20" s="392"/>
      <c r="X20" s="392"/>
      <c r="Y20" s="392"/>
      <c r="Z20" s="392"/>
      <c r="AA20" s="311"/>
      <c r="AB20" s="312"/>
      <c r="AC20" s="312"/>
      <c r="AD20" s="312"/>
    </row>
    <row r="21" spans="1:30" ht="15" x14ac:dyDescent="0.2">
      <c r="A21" s="117" t="s">
        <v>70</v>
      </c>
      <c r="B21" s="58"/>
      <c r="C21" s="82" t="s">
        <v>197</v>
      </c>
      <c r="D21" s="20"/>
      <c r="E21" s="21"/>
      <c r="F21" s="434"/>
      <c r="G21" s="420" t="s">
        <v>323</v>
      </c>
      <c r="H21" s="420" t="s">
        <v>323</v>
      </c>
      <c r="I21" s="420" t="s">
        <v>342</v>
      </c>
      <c r="J21" s="428"/>
      <c r="K21" s="420" t="s">
        <v>176</v>
      </c>
      <c r="L21" s="428"/>
      <c r="M21" s="428"/>
      <c r="N21" s="428"/>
      <c r="O21" s="428"/>
      <c r="P21" s="428"/>
      <c r="Q21" s="435"/>
      <c r="R21" s="428"/>
      <c r="S21" s="392"/>
      <c r="T21" s="392"/>
      <c r="U21" s="392"/>
      <c r="V21" s="392"/>
      <c r="W21" s="392"/>
      <c r="X21" s="392"/>
      <c r="Y21" s="392"/>
      <c r="Z21" s="392"/>
      <c r="AA21" s="311"/>
      <c r="AB21" s="312"/>
      <c r="AC21" s="312"/>
      <c r="AD21" s="312"/>
    </row>
    <row r="22" spans="1:30" ht="15.75" x14ac:dyDescent="0.25">
      <c r="A22" s="117" t="s">
        <v>71</v>
      </c>
      <c r="B22" s="58"/>
      <c r="C22" s="299" t="s">
        <v>396</v>
      </c>
      <c r="D22" s="20"/>
      <c r="E22" s="21"/>
      <c r="F22" s="434"/>
      <c r="G22" s="436" t="s">
        <v>8</v>
      </c>
      <c r="H22" s="437" t="s">
        <v>41</v>
      </c>
      <c r="I22" s="437" t="s">
        <v>42</v>
      </c>
      <c r="J22" s="438"/>
      <c r="K22" s="438" t="s">
        <v>8</v>
      </c>
      <c r="L22" s="437" t="s">
        <v>41</v>
      </c>
      <c r="M22" s="437" t="s">
        <v>42</v>
      </c>
      <c r="N22" s="437"/>
      <c r="O22" s="438"/>
      <c r="P22" s="438"/>
      <c r="Q22" s="428"/>
      <c r="R22" s="428"/>
      <c r="S22" s="392"/>
      <c r="T22" s="392"/>
      <c r="U22" s="392"/>
      <c r="V22" s="392"/>
      <c r="W22" s="392"/>
      <c r="X22" s="392"/>
      <c r="Y22" s="392"/>
      <c r="Z22" s="392"/>
      <c r="AA22" s="311"/>
      <c r="AB22" s="312"/>
      <c r="AC22" s="312"/>
      <c r="AD22" s="312"/>
    </row>
    <row r="23" spans="1:30" ht="15.75" x14ac:dyDescent="0.25">
      <c r="A23" s="118" t="s">
        <v>72</v>
      </c>
      <c r="B23" s="139"/>
      <c r="C23" s="301" t="s">
        <v>399</v>
      </c>
      <c r="D23" s="20"/>
      <c r="E23" s="21"/>
      <c r="F23" s="434"/>
      <c r="G23" s="439">
        <f>IF(D27="Y",0,K23)</f>
        <v>0</v>
      </c>
      <c r="H23" s="439">
        <f>IF((D27="N"),K23,0)</f>
        <v>0</v>
      </c>
      <c r="I23" s="440">
        <f>IF((D27="N"),M23,0)</f>
        <v>0</v>
      </c>
      <c r="J23" s="428" t="s">
        <v>9</v>
      </c>
      <c r="K23" s="428">
        <v>0</v>
      </c>
      <c r="L23" s="438">
        <v>0</v>
      </c>
      <c r="M23" s="428">
        <v>20500</v>
      </c>
      <c r="N23" s="428"/>
      <c r="O23" s="438"/>
      <c r="P23" s="438"/>
      <c r="Q23" s="428"/>
      <c r="R23" s="428"/>
      <c r="S23" s="392"/>
      <c r="T23" s="392"/>
      <c r="U23" s="392"/>
      <c r="V23" s="392"/>
      <c r="W23" s="392"/>
      <c r="X23" s="392"/>
      <c r="Y23" s="392"/>
      <c r="Z23" s="392"/>
      <c r="AA23" s="311"/>
      <c r="AB23" s="312"/>
      <c r="AC23" s="312"/>
      <c r="AD23" s="312"/>
    </row>
    <row r="24" spans="1:30" s="1" customFormat="1" ht="15" x14ac:dyDescent="0.2">
      <c r="A24" s="117" t="s">
        <v>6</v>
      </c>
      <c r="B24" s="58"/>
      <c r="C24" s="80" t="s">
        <v>359</v>
      </c>
      <c r="D24" s="20"/>
      <c r="E24" s="21"/>
      <c r="F24" s="434"/>
      <c r="G24" s="439">
        <f>IF((AND(D27="Y",D28="N",D30=1)),K24,0)</f>
        <v>3500</v>
      </c>
      <c r="H24" s="428">
        <f>IF((AND(D27="Y",D32="D",D30=1)),L24,0)</f>
        <v>2000</v>
      </c>
      <c r="I24" s="428">
        <f>IF((AND(D27="Y",D32="I",D30=1)),M24,0)</f>
        <v>0</v>
      </c>
      <c r="J24" s="428" t="s">
        <v>10</v>
      </c>
      <c r="K24" s="428">
        <v>3500</v>
      </c>
      <c r="L24" s="428">
        <v>2000</v>
      </c>
      <c r="M24" s="428">
        <v>6000</v>
      </c>
      <c r="N24" s="428"/>
      <c r="O24" s="438"/>
      <c r="P24" s="438"/>
      <c r="Q24" s="428"/>
      <c r="R24" s="438"/>
      <c r="S24" s="393"/>
      <c r="T24" s="393"/>
      <c r="U24" s="393"/>
      <c r="V24" s="393"/>
      <c r="W24" s="393"/>
      <c r="X24" s="393"/>
      <c r="Y24" s="393"/>
      <c r="Z24" s="393"/>
      <c r="AA24" s="313"/>
      <c r="AB24" s="314"/>
      <c r="AC24" s="314"/>
      <c r="AD24" s="314"/>
    </row>
    <row r="25" spans="1:30" s="1" customFormat="1" ht="15" x14ac:dyDescent="0.2">
      <c r="A25" s="293" t="s">
        <v>328</v>
      </c>
      <c r="B25" s="58"/>
      <c r="C25" s="80" t="s">
        <v>360</v>
      </c>
      <c r="D25" s="20"/>
      <c r="E25" s="21"/>
      <c r="F25" s="427"/>
      <c r="G25" s="439">
        <f>IF((AND(D27="Y",D28="N",D30=2)),K25,0)</f>
        <v>0</v>
      </c>
      <c r="H25" s="428">
        <f>IF((AND(D27="Y",D32="D",D30=2)),L25,0)</f>
        <v>0</v>
      </c>
      <c r="I25" s="428">
        <f>IF((AND(D27="Y",D32="I",D30=2)),M25,0)</f>
        <v>0</v>
      </c>
      <c r="J25" s="428" t="s">
        <v>11</v>
      </c>
      <c r="K25" s="428">
        <v>4500</v>
      </c>
      <c r="L25" s="428">
        <v>2000</v>
      </c>
      <c r="M25" s="428">
        <v>6000</v>
      </c>
      <c r="N25" s="428"/>
      <c r="O25" s="428"/>
      <c r="P25" s="428"/>
      <c r="Q25" s="428"/>
      <c r="R25" s="438"/>
      <c r="S25" s="393"/>
      <c r="T25" s="393"/>
      <c r="U25" s="393"/>
      <c r="V25" s="393"/>
      <c r="W25" s="393"/>
      <c r="X25" s="393"/>
      <c r="Y25" s="393"/>
      <c r="Z25" s="393"/>
      <c r="AA25" s="313"/>
      <c r="AB25" s="314"/>
      <c r="AC25" s="314"/>
      <c r="AD25" s="314"/>
    </row>
    <row r="26" spans="1:30" s="1" customFormat="1" ht="15" x14ac:dyDescent="0.2">
      <c r="A26" s="16"/>
      <c r="B26" s="57"/>
      <c r="C26" s="17"/>
      <c r="D26" s="18" t="s">
        <v>447</v>
      </c>
      <c r="E26" s="19" t="s">
        <v>448</v>
      </c>
      <c r="F26" s="427"/>
      <c r="G26" s="439">
        <f>IF((AND(D27="Y",D28="N",D30&gt;2)),K26,0)</f>
        <v>0</v>
      </c>
      <c r="H26" s="428">
        <f>IF((AND(D27="Y",D32="D",D30&gt;2)),L26,0)</f>
        <v>0</v>
      </c>
      <c r="I26" s="428">
        <f>IF((AND(D27="Y",D32="I",D30&gt;2)),M26,0)</f>
        <v>0</v>
      </c>
      <c r="J26" s="428" t="s">
        <v>21</v>
      </c>
      <c r="K26" s="428">
        <v>5500</v>
      </c>
      <c r="L26" s="428">
        <v>2000</v>
      </c>
      <c r="M26" s="428">
        <v>7000</v>
      </c>
      <c r="N26" s="428"/>
      <c r="O26" s="428"/>
      <c r="P26" s="428"/>
      <c r="Q26" s="428"/>
      <c r="R26" s="438"/>
      <c r="S26" s="393"/>
      <c r="T26" s="393"/>
      <c r="U26" s="393"/>
      <c r="V26" s="393"/>
      <c r="W26" s="393"/>
      <c r="X26" s="393"/>
      <c r="Y26" s="393"/>
      <c r="Z26" s="393"/>
      <c r="AA26" s="313"/>
      <c r="AB26" s="314"/>
      <c r="AC26" s="314"/>
      <c r="AD26" s="314"/>
    </row>
    <row r="27" spans="1:30" ht="15.75" customHeight="1" x14ac:dyDescent="0.2">
      <c r="A27" s="521" t="s">
        <v>456</v>
      </c>
      <c r="B27" s="522"/>
      <c r="C27" s="404" t="s">
        <v>449</v>
      </c>
      <c r="D27" s="380" t="s">
        <v>4</v>
      </c>
      <c r="E27" s="375"/>
      <c r="G27" s="439">
        <f>IF((AND(D27="Y", D28="Y", D29="Y")),K27,0)</f>
        <v>0</v>
      </c>
      <c r="H27" s="428">
        <f>IF((AND(D27="Y",D28="Y",D29="Y")),I27,0)</f>
        <v>0</v>
      </c>
      <c r="I27" s="440">
        <f>IF((AND(D27="Y", D28="Y", D29="Y")),M27,0)</f>
        <v>0</v>
      </c>
      <c r="J27" s="428"/>
      <c r="K27" s="428">
        <f>K23</f>
        <v>0</v>
      </c>
      <c r="L27" s="428">
        <f>L23</f>
        <v>0</v>
      </c>
      <c r="M27" s="428">
        <f>M23</f>
        <v>20500</v>
      </c>
      <c r="N27" s="428"/>
      <c r="O27" s="428"/>
      <c r="P27" s="428"/>
      <c r="Q27" s="428"/>
      <c r="R27" s="428"/>
      <c r="S27" s="392"/>
      <c r="T27" s="392"/>
      <c r="U27" s="392"/>
      <c r="V27" s="392"/>
      <c r="W27" s="392"/>
      <c r="X27" s="392"/>
      <c r="Y27" s="392"/>
      <c r="Z27" s="392"/>
      <c r="AA27" s="311"/>
      <c r="AB27" s="312"/>
      <c r="AC27" s="312"/>
      <c r="AD27" s="312"/>
    </row>
    <row r="28" spans="1:30" ht="15.75" customHeight="1" x14ac:dyDescent="0.2">
      <c r="A28" s="521"/>
      <c r="B28" s="522"/>
      <c r="C28" s="367" t="str">
        <f>IF(D27="N", "Do not adjust this line", "Are you taking an undergraduate course but at *graduate/professional level? Only answer N")</f>
        <v>Are you taking an undergraduate course but at *graduate/professional level? Only answer N</v>
      </c>
      <c r="D28" s="381" t="s">
        <v>5</v>
      </c>
      <c r="E28" s="375"/>
      <c r="G28" s="439">
        <f>MAX(G23:G27)</f>
        <v>3500</v>
      </c>
      <c r="H28" s="440"/>
      <c r="I28" s="440">
        <f>MAX(H23:I27)</f>
        <v>2000</v>
      </c>
      <c r="J28" s="420" t="s">
        <v>34</v>
      </c>
      <c r="K28" s="420"/>
      <c r="L28" s="420" t="s">
        <v>198</v>
      </c>
      <c r="M28" s="428"/>
      <c r="N28" s="428"/>
      <c r="O28" s="428"/>
      <c r="P28" s="428"/>
      <c r="Q28" s="428"/>
      <c r="R28" s="428"/>
      <c r="S28" s="392"/>
      <c r="T28" s="392"/>
      <c r="U28" s="392"/>
      <c r="V28" s="392"/>
      <c r="W28" s="392"/>
      <c r="X28" s="392"/>
      <c r="Y28" s="392"/>
      <c r="Z28" s="392"/>
      <c r="AA28" s="311"/>
      <c r="AB28" s="312"/>
      <c r="AC28" s="312"/>
      <c r="AD28" s="312"/>
    </row>
    <row r="29" spans="1:30" x14ac:dyDescent="0.2">
      <c r="A29" s="16"/>
      <c r="B29" s="369"/>
      <c r="C29" s="370" t="str">
        <f>IF((AND( D27="Y", D28="Y")), "Do you already have another undergraduate degree, or at least 3 years of Medicine Completed- answer Y or N", "Do not adjust this line" )</f>
        <v>Do not adjust this line</v>
      </c>
      <c r="D29" s="368" t="s">
        <v>5</v>
      </c>
      <c r="E29" s="375"/>
      <c r="G29" s="441"/>
      <c r="H29" s="428"/>
      <c r="I29" s="428"/>
      <c r="J29" s="428"/>
      <c r="K29" s="420"/>
      <c r="L29" s="428"/>
      <c r="M29" s="428"/>
      <c r="N29" s="428"/>
      <c r="O29" s="428"/>
      <c r="P29" s="428"/>
      <c r="Q29" s="428"/>
      <c r="R29" s="428"/>
      <c r="S29" s="392"/>
      <c r="T29" s="392"/>
      <c r="U29" s="392"/>
      <c r="V29" s="392"/>
      <c r="W29" s="392"/>
      <c r="X29" s="392"/>
      <c r="Y29" s="392"/>
      <c r="Z29" s="392"/>
      <c r="AA29" s="311"/>
      <c r="AB29" s="312"/>
      <c r="AC29" s="312"/>
      <c r="AD29" s="312"/>
    </row>
    <row r="30" spans="1:30" x14ac:dyDescent="0.2">
      <c r="A30" s="16"/>
      <c r="B30" s="369"/>
      <c r="C30" s="387" t="s">
        <v>329</v>
      </c>
      <c r="D30" s="382">
        <v>1</v>
      </c>
      <c r="E30" s="375"/>
      <c r="G30" s="441"/>
      <c r="H30" s="420" t="s">
        <v>177</v>
      </c>
      <c r="I30" s="428"/>
      <c r="J30" s="428"/>
      <c r="K30" s="428"/>
      <c r="L30" s="442" t="s">
        <v>62</v>
      </c>
      <c r="M30" s="428"/>
      <c r="N30" s="428"/>
      <c r="O30" s="428"/>
      <c r="P30" s="428"/>
      <c r="Q30" s="428"/>
      <c r="R30" s="428"/>
      <c r="S30" s="392"/>
      <c r="T30" s="392"/>
      <c r="U30" s="392"/>
      <c r="V30" s="392"/>
      <c r="W30" s="392"/>
      <c r="X30" s="392"/>
      <c r="Y30" s="392"/>
      <c r="Z30" s="392"/>
      <c r="AA30" s="311"/>
      <c r="AB30" s="312"/>
      <c r="AC30" s="312"/>
      <c r="AD30" s="312"/>
    </row>
    <row r="31" spans="1:30" x14ac:dyDescent="0.2">
      <c r="A31" s="16"/>
      <c r="B31" s="369"/>
      <c r="C31" s="371" t="str">
        <f>IF((AND(D27="Y",D31=3)),"Please correct as Undergraduate Courses are only 2 Semesters","How many semesters is your course?")</f>
        <v>How many semesters is your course?</v>
      </c>
      <c r="D31" s="382">
        <v>2</v>
      </c>
      <c r="E31" s="375"/>
      <c r="F31" s="443"/>
      <c r="G31" s="441" t="s">
        <v>40</v>
      </c>
      <c r="H31" s="444" t="s">
        <v>13</v>
      </c>
      <c r="I31" s="444" t="s">
        <v>14</v>
      </c>
      <c r="J31" s="420" t="s">
        <v>12</v>
      </c>
      <c r="K31" s="420"/>
      <c r="L31" s="428"/>
      <c r="M31" s="428"/>
      <c r="N31" s="428"/>
      <c r="O31" s="428"/>
      <c r="P31" s="428"/>
      <c r="Q31" s="428"/>
      <c r="R31" s="428"/>
      <c r="S31" s="392"/>
      <c r="T31" s="392"/>
      <c r="U31" s="392"/>
      <c r="V31" s="392"/>
      <c r="W31" s="392"/>
      <c r="X31" s="392"/>
      <c r="Y31" s="392"/>
      <c r="Z31" s="392"/>
      <c r="AA31" s="311"/>
      <c r="AB31" s="312"/>
      <c r="AC31" s="312"/>
      <c r="AD31" s="312"/>
    </row>
    <row r="32" spans="1:30" x14ac:dyDescent="0.2">
      <c r="A32" s="16"/>
      <c r="B32" s="369"/>
      <c r="C32" s="387" t="s">
        <v>98</v>
      </c>
      <c r="D32" s="372" t="s">
        <v>64</v>
      </c>
      <c r="E32" s="375"/>
      <c r="F32" s="443"/>
      <c r="G32" s="445">
        <f>D7</f>
        <v>1.2</v>
      </c>
      <c r="H32" s="440">
        <f>D34*G32</f>
        <v>0</v>
      </c>
      <c r="I32" s="440">
        <f>E34</f>
        <v>0</v>
      </c>
      <c r="J32" s="420" t="s">
        <v>15</v>
      </c>
      <c r="K32" s="428"/>
      <c r="L32" s="428"/>
      <c r="M32" s="428"/>
      <c r="N32" s="428"/>
      <c r="O32" s="428"/>
      <c r="P32" s="428"/>
      <c r="Q32" s="428"/>
      <c r="R32" s="428"/>
      <c r="S32" s="392"/>
      <c r="T32" s="392"/>
      <c r="U32" s="392"/>
      <c r="V32" s="392"/>
      <c r="W32" s="392"/>
      <c r="X32" s="392"/>
      <c r="Y32" s="392"/>
      <c r="Z32" s="392"/>
      <c r="AA32" s="311"/>
      <c r="AB32" s="312"/>
      <c r="AC32" s="312"/>
      <c r="AD32" s="312"/>
    </row>
    <row r="33" spans="1:30" x14ac:dyDescent="0.2">
      <c r="A33" s="16"/>
      <c r="B33" s="369"/>
      <c r="C33" s="370" t="s">
        <v>0</v>
      </c>
      <c r="D33" s="383">
        <v>0</v>
      </c>
      <c r="E33" s="376"/>
      <c r="F33" s="446"/>
      <c r="G33" s="441">
        <f>G32</f>
        <v>1.2</v>
      </c>
      <c r="H33" s="440">
        <f>D35*G33</f>
        <v>0</v>
      </c>
      <c r="I33" s="440">
        <f>E35</f>
        <v>0</v>
      </c>
      <c r="J33" s="428" t="s">
        <v>16</v>
      </c>
      <c r="K33" s="428"/>
      <c r="L33" s="428"/>
      <c r="M33" s="428"/>
      <c r="N33" s="428"/>
      <c r="O33" s="428"/>
      <c r="P33" s="428"/>
      <c r="Q33" s="420"/>
      <c r="R33" s="428"/>
      <c r="S33" s="392"/>
      <c r="T33" s="392"/>
      <c r="U33" s="392"/>
      <c r="V33" s="392"/>
      <c r="W33" s="392"/>
      <c r="X33" s="392"/>
      <c r="Y33" s="392"/>
      <c r="Z33" s="392"/>
      <c r="AA33" s="311"/>
      <c r="AB33" s="312"/>
      <c r="AC33" s="312"/>
      <c r="AD33" s="312"/>
    </row>
    <row r="34" spans="1:30" x14ac:dyDescent="0.2">
      <c r="A34" s="16"/>
      <c r="B34" s="369"/>
      <c r="C34" s="415" t="s">
        <v>397</v>
      </c>
      <c r="D34" s="384">
        <v>0</v>
      </c>
      <c r="E34" s="376"/>
      <c r="F34" s="446"/>
      <c r="G34" s="441">
        <f>G33</f>
        <v>1.2</v>
      </c>
      <c r="H34" s="440">
        <f>D36*G34</f>
        <v>0</v>
      </c>
      <c r="I34" s="440">
        <f>E36</f>
        <v>0</v>
      </c>
      <c r="J34" s="428" t="s">
        <v>17</v>
      </c>
      <c r="K34" s="428"/>
      <c r="L34" s="428" t="s">
        <v>409</v>
      </c>
      <c r="M34" s="428">
        <f>IF((D27="Y"),2,3)</f>
        <v>2</v>
      </c>
      <c r="N34" s="428">
        <v>1</v>
      </c>
      <c r="O34" s="428"/>
      <c r="P34" s="428"/>
      <c r="Q34" s="447">
        <f>IF(('Cost of Attendance'!D27="n"),'Cost of Attendance'!J15,'Cost of Attendance'!J13)</f>
        <v>44805</v>
      </c>
      <c r="R34" s="428"/>
      <c r="S34" s="392"/>
      <c r="T34" s="392"/>
      <c r="U34" s="392"/>
      <c r="V34" s="392"/>
      <c r="W34" s="392"/>
      <c r="X34" s="392"/>
      <c r="Y34" s="392"/>
      <c r="Z34" s="392"/>
      <c r="AA34" s="311"/>
      <c r="AB34" s="312"/>
      <c r="AC34" s="312"/>
      <c r="AD34" s="312"/>
    </row>
    <row r="35" spans="1:30" x14ac:dyDescent="0.2">
      <c r="A35" s="16"/>
      <c r="B35" s="369"/>
      <c r="C35" s="367"/>
      <c r="D35" s="385"/>
      <c r="E35" s="376"/>
      <c r="F35" s="446"/>
      <c r="G35" s="441">
        <f>G34</f>
        <v>1.2</v>
      </c>
      <c r="H35" s="440">
        <f>D37*G35</f>
        <v>0</v>
      </c>
      <c r="I35" s="440">
        <f>E37</f>
        <v>0</v>
      </c>
      <c r="J35" s="428" t="s">
        <v>44</v>
      </c>
      <c r="K35" s="428"/>
      <c r="L35" s="428"/>
      <c r="M35" s="428"/>
      <c r="N35" s="428">
        <v>2</v>
      </c>
      <c r="O35" s="428"/>
      <c r="P35" s="428"/>
      <c r="Q35" s="447">
        <f>IF(('Cost of Attendance'!D27="n"),'Cost of Attendance'!J16,'Cost of Attendance'!J14)</f>
        <v>45077</v>
      </c>
      <c r="R35" s="428"/>
      <c r="S35" s="392"/>
      <c r="T35" s="392"/>
      <c r="U35" s="392"/>
      <c r="V35" s="392"/>
      <c r="W35" s="392"/>
      <c r="X35" s="392"/>
      <c r="Y35" s="392"/>
      <c r="Z35" s="392"/>
      <c r="AA35" s="311"/>
      <c r="AB35" s="312"/>
      <c r="AC35" s="312"/>
      <c r="AD35" s="312"/>
    </row>
    <row r="36" spans="1:30" x14ac:dyDescent="0.2">
      <c r="A36" s="16"/>
      <c r="B36" s="369"/>
      <c r="C36" s="388" t="s">
        <v>450</v>
      </c>
      <c r="D36" s="384">
        <v>0</v>
      </c>
      <c r="E36" s="377"/>
      <c r="F36" s="446"/>
      <c r="G36" s="441">
        <f>G34</f>
        <v>1.2</v>
      </c>
      <c r="H36" s="440">
        <f>D38*G36</f>
        <v>0</v>
      </c>
      <c r="I36" s="440">
        <f>E38</f>
        <v>0</v>
      </c>
      <c r="J36" s="428" t="s">
        <v>45</v>
      </c>
      <c r="K36" s="428"/>
      <c r="L36" s="428"/>
      <c r="M36" s="428"/>
      <c r="N36" s="428">
        <v>3</v>
      </c>
      <c r="O36" s="428"/>
      <c r="P36" s="428"/>
      <c r="Q36" s="447">
        <f>IF(('Cost of Attendance'!D31=1),"GG",'Cost of Attendance'!M13)</f>
        <v>44849</v>
      </c>
      <c r="R36" s="428"/>
      <c r="S36" s="392"/>
      <c r="T36" s="392"/>
      <c r="U36" s="392"/>
      <c r="V36" s="392"/>
      <c r="W36" s="392"/>
      <c r="X36" s="392"/>
      <c r="Y36" s="392"/>
      <c r="Z36" s="392"/>
      <c r="AA36" s="311"/>
      <c r="AB36" s="312"/>
      <c r="AC36" s="312"/>
      <c r="AD36" s="312"/>
    </row>
    <row r="37" spans="1:30" s="1" customFormat="1" ht="15.75" x14ac:dyDescent="0.25">
      <c r="A37" s="16"/>
      <c r="B37" s="369"/>
      <c r="C37" s="370" t="s">
        <v>400</v>
      </c>
      <c r="D37" s="384">
        <v>0</v>
      </c>
      <c r="E37" s="377"/>
      <c r="F37" s="448"/>
      <c r="G37" s="449"/>
      <c r="H37" s="450"/>
      <c r="I37" s="451">
        <f>SUM(H33:I36)</f>
        <v>0</v>
      </c>
      <c r="J37" s="429" t="s">
        <v>43</v>
      </c>
      <c r="K37" s="429"/>
      <c r="L37" s="438"/>
      <c r="M37" s="438"/>
      <c r="N37" s="438"/>
      <c r="O37" s="438"/>
      <c r="P37" s="438"/>
      <c r="Q37" s="452" t="str">
        <f>IF(('Cost of Attendance'!D31&gt;=2),"20 January 2020","GG")</f>
        <v>20 January 2020</v>
      </c>
      <c r="R37" s="438"/>
      <c r="S37" s="393"/>
      <c r="T37" s="393"/>
      <c r="U37" s="393"/>
      <c r="V37" s="393"/>
      <c r="W37" s="393"/>
      <c r="X37" s="393"/>
      <c r="Y37" s="393"/>
      <c r="Z37" s="393"/>
      <c r="AA37" s="313"/>
      <c r="AB37" s="314"/>
      <c r="AC37" s="314"/>
      <c r="AD37" s="314"/>
    </row>
    <row r="38" spans="1:30" ht="14.25" customHeight="1" x14ac:dyDescent="0.2">
      <c r="A38" s="16"/>
      <c r="B38" s="369"/>
      <c r="C38" s="389" t="s">
        <v>401</v>
      </c>
      <c r="D38" s="386"/>
      <c r="E38" s="378">
        <v>0</v>
      </c>
      <c r="F38" s="443"/>
      <c r="G38" s="441"/>
      <c r="H38" s="428"/>
      <c r="I38" s="440"/>
      <c r="J38" s="428"/>
      <c r="K38" s="428"/>
      <c r="L38" s="428"/>
      <c r="M38" s="428"/>
      <c r="N38" s="428"/>
      <c r="O38" s="428"/>
      <c r="P38" s="428"/>
      <c r="Q38" s="428" t="str">
        <f>IF(('Cost of Attendance'!D31=3),"18 May 2020","GG")</f>
        <v>GG</v>
      </c>
      <c r="R38" s="428"/>
      <c r="S38" s="392"/>
      <c r="T38" s="392"/>
      <c r="U38" s="392"/>
      <c r="V38" s="392"/>
      <c r="W38" s="392"/>
      <c r="X38" s="392"/>
      <c r="Y38" s="392"/>
      <c r="Z38" s="392"/>
      <c r="AA38" s="311"/>
      <c r="AB38" s="312"/>
      <c r="AC38" s="312"/>
      <c r="AD38" s="312"/>
    </row>
    <row r="39" spans="1:30" ht="16.5" thickBot="1" x14ac:dyDescent="0.3">
      <c r="A39" s="519"/>
      <c r="B39" s="520"/>
      <c r="C39" s="373" t="s">
        <v>293</v>
      </c>
      <c r="D39" s="379" t="s">
        <v>292</v>
      </c>
      <c r="E39" s="374"/>
      <c r="F39" s="453"/>
      <c r="G39" s="441"/>
      <c r="H39" s="420" t="s">
        <v>178</v>
      </c>
      <c r="I39" s="428"/>
      <c r="J39" s="428"/>
      <c r="K39" s="428"/>
      <c r="L39" s="428"/>
      <c r="M39" s="428"/>
      <c r="N39" s="428"/>
      <c r="O39" s="428"/>
      <c r="P39" s="428"/>
      <c r="Q39" s="428" t="e">
        <f>IF(AND(#REF!='Cost of Attendance'!R84,'Cost of Attendance'!D31=2),'Cost of Attendance'!Q71,IF(AND(#REF!='Cost of Attendance'!R84,'Cost of Attendance'!D31=3),'Cost of Attendance'!S71,IF(AND(#REF!='Cost of Attendance'!R85,'Cost of Attendance'!D31=2),'Cost of Attendance'!Q72,IF(AND(#REF!='Cost of Attendance'!R85,'Cost of Attendance'!D31=3),'Cost of Attendance'!S72,IF(AND(#REF!='Cost of Attendance'!R86,'Cost of Attendance'!D31=2),'Cost of Attendance'!Q73,IF(AND(#REF!='Cost of Attendance'!R86,'Cost of Attendance'!D31=3),'Cost of Attendance'!S73,IF(AND(#REF!='Cost of Attendance'!R87,'Cost of Attendance'!D31=2),'Cost of Attendance'!Q74,IF(AND(#REF!='Cost of Attendance'!R87,'Cost of Attendance'!D31=3),'Cost of Attendance'!S74,IF(AND(#REF!='Cost of Attendance'!R88,'Cost of Attendance'!D31=2),'Cost of Attendance'!Q75,IF(AND(#REF!='Cost of Attendance'!R88,'Cost of Attendance'!D31=3),'Cost of Attendance'!S75,IF(AND(#REF!='Cost of Attendance'!R89,'Cost of Attendance'!D31=2),'Cost of Attendance'!Q76,IF(AND(#REF!='Cost of Attendance'!R89,'Cost of Attendance'!D31=3),'Cost of Attendance'!S76,IF(AND(#REF!='Cost of Attendance'!R90,'Cost of Attendance'!D31=2),'Cost of Attendance'!Q77,IF(AND(#REF!='Cost of Attendance'!R90,'Cost of Attendance'!D31=3),'Cost of Attendance'!S77,IF(AND(#REF!='Cost of Attendance'!R91,'Cost of Attendance'!D31=2),'Cost of Attendance'!Q78,IF(AND(#REF!='Cost of Attendance'!R91,'Cost of Attendance'!D31=3),'Cost of Attendance'!S78,IF(AND(#REF!='Cost of Attendance'!R92,'Cost of Attendance'!D31=2),'Cost of Attendance'!Q79,IF(AND(#REF!='Cost of Attendance'!R92,'Cost of Attendance'!D31=3),'Cost of Attendance'!S79,"No 3 semesters students allowed"))))))))))))))))))</f>
        <v>#REF!</v>
      </c>
      <c r="R39" s="428"/>
      <c r="S39" s="392"/>
      <c r="T39" s="392"/>
      <c r="U39" s="392"/>
      <c r="V39" s="392"/>
      <c r="W39" s="392"/>
      <c r="X39" s="392"/>
      <c r="Y39" s="392"/>
      <c r="Z39" s="392"/>
      <c r="AA39" s="311"/>
      <c r="AB39" s="312"/>
      <c r="AC39" s="312"/>
      <c r="AD39" s="312"/>
    </row>
    <row r="40" spans="1:30" ht="13.5" thickBot="1" x14ac:dyDescent="0.25">
      <c r="A40" s="12"/>
      <c r="B40" s="12"/>
      <c r="C40" s="13"/>
      <c r="D40" s="22"/>
      <c r="E40" s="23"/>
      <c r="F40" s="518" t="str">
        <f>IF(SUM(E43:E47)&gt;SUM(D43:D47)*1,"You are attempting to borrow over the maximum School's Estimate per week in Section 2","")</f>
        <v/>
      </c>
      <c r="G40" s="441" t="s">
        <v>18</v>
      </c>
      <c r="H40" s="440" t="s">
        <v>32</v>
      </c>
      <c r="I40" s="440" t="s">
        <v>33</v>
      </c>
      <c r="J40" s="428" t="s">
        <v>31</v>
      </c>
      <c r="K40" s="428"/>
      <c r="L40" s="428"/>
      <c r="M40" s="428"/>
      <c r="N40" s="428"/>
      <c r="O40" s="428"/>
      <c r="P40" s="428"/>
      <c r="Q40" s="428" t="e">
        <f>IF(C41='Cost of Attendance'!Q67,#REF!-#REF!,(#REF!-(#REF!-#REF!)-#REF!))</f>
        <v>#REF!</v>
      </c>
      <c r="R40" s="428"/>
      <c r="S40" s="392"/>
      <c r="T40" s="392"/>
      <c r="U40" s="392"/>
      <c r="V40" s="392"/>
      <c r="W40" s="392"/>
      <c r="X40" s="392"/>
      <c r="Y40" s="392"/>
      <c r="Z40" s="392"/>
      <c r="AA40" s="311"/>
      <c r="AB40" s="312"/>
      <c r="AC40" s="312"/>
      <c r="AD40" s="312"/>
    </row>
    <row r="41" spans="1:30" ht="16.5" thickBot="1" x14ac:dyDescent="0.3">
      <c r="A41" s="112">
        <v>2</v>
      </c>
      <c r="B41" s="119" t="s">
        <v>290</v>
      </c>
      <c r="C41" s="120"/>
      <c r="D41" s="121"/>
      <c r="E41" s="122"/>
      <c r="F41" s="518"/>
      <c r="G41" s="441">
        <f>D9</f>
        <v>38</v>
      </c>
      <c r="H41" s="440">
        <f>E43*G32*G41</f>
        <v>7524</v>
      </c>
      <c r="I41" s="440">
        <f>J41*G32*E43</f>
        <v>10296</v>
      </c>
      <c r="J41" s="454">
        <f>D10</f>
        <v>52</v>
      </c>
      <c r="K41" s="454"/>
      <c r="L41" s="428"/>
      <c r="M41" s="428"/>
      <c r="N41" s="428"/>
      <c r="O41" s="428"/>
      <c r="P41" s="428"/>
      <c r="Q41" s="428" t="e">
        <f>IF(#REF!='Cost of Attendance'!Q67,"GG","This shows that the student")</f>
        <v>#REF!</v>
      </c>
      <c r="R41" s="428" t="e">
        <f>IF(#REF!='Cost of Attendance'!Q67,"GG",IF(#REF!&gt;#REF!,"has sufficient amount to pay for accommodation fees.",IF(#REF!&gt;(#REF!/2),"has sufficient amount to pay for accommodation fees.",IF(#REF!&lt;=-1,"does not have sufficient funds to pay accommodation fees.","has sufficient amount to pay for accommodation fees."))))</f>
        <v>#REF!</v>
      </c>
      <c r="S41" s="392"/>
      <c r="T41" s="392"/>
      <c r="U41" s="392"/>
      <c r="V41" s="392"/>
      <c r="W41" s="392"/>
      <c r="X41" s="392"/>
      <c r="Y41" s="392"/>
      <c r="Z41" s="392"/>
      <c r="AA41" s="311"/>
      <c r="AB41" s="312"/>
      <c r="AC41" s="312"/>
      <c r="AD41" s="312"/>
    </row>
    <row r="42" spans="1:30" x14ac:dyDescent="0.2">
      <c r="A42" s="16"/>
      <c r="B42" s="57"/>
      <c r="C42" s="9"/>
      <c r="D42" s="133" t="s">
        <v>424</v>
      </c>
      <c r="E42" s="134" t="s">
        <v>76</v>
      </c>
      <c r="F42" s="443"/>
      <c r="G42" s="441">
        <f>D9</f>
        <v>38</v>
      </c>
      <c r="H42" s="440">
        <f>E44*G33*G42</f>
        <v>4560</v>
      </c>
      <c r="I42" s="440">
        <f>J42*G33*E44</f>
        <v>6240</v>
      </c>
      <c r="J42" s="454">
        <f>J41</f>
        <v>52</v>
      </c>
      <c r="K42" s="454"/>
      <c r="L42" s="428"/>
      <c r="M42" s="428"/>
      <c r="N42" s="428"/>
      <c r="O42" s="428"/>
      <c r="P42" s="428"/>
      <c r="Q42" s="428" t="e">
        <f>IF(#REF!="GG","GG","This is based on the student's requests as per the accompanying Cost of Attendance Sheet.")</f>
        <v>#REF!</v>
      </c>
      <c r="R42" s="428"/>
      <c r="S42" s="392"/>
      <c r="T42" s="392"/>
      <c r="U42" s="392"/>
      <c r="V42" s="392"/>
      <c r="W42" s="392"/>
      <c r="X42" s="392"/>
      <c r="Y42" s="392"/>
      <c r="Z42" s="392"/>
      <c r="AA42" s="311"/>
      <c r="AB42" s="312"/>
      <c r="AC42" s="312"/>
      <c r="AD42" s="312"/>
    </row>
    <row r="43" spans="1:30" x14ac:dyDescent="0.2">
      <c r="A43" s="16"/>
      <c r="B43" s="57"/>
      <c r="C43" s="10" t="s">
        <v>1</v>
      </c>
      <c r="D43" s="405">
        <f>IF((E43&gt;165),"Cannot borrow more than School Estimate",'School DATA (Locked)'!I11)</f>
        <v>165</v>
      </c>
      <c r="E43" s="135">
        <v>165</v>
      </c>
      <c r="F43" s="443"/>
      <c r="G43" s="441">
        <f>G42</f>
        <v>38</v>
      </c>
      <c r="H43" s="440">
        <f>E45*G32*G43</f>
        <v>912</v>
      </c>
      <c r="I43" s="440">
        <f>J43*G34*E45</f>
        <v>1248</v>
      </c>
      <c r="J43" s="454">
        <f>J42</f>
        <v>52</v>
      </c>
      <c r="K43" s="454"/>
      <c r="L43" s="428"/>
      <c r="M43" s="428"/>
      <c r="N43" s="428"/>
      <c r="O43" s="428"/>
      <c r="P43" s="428"/>
      <c r="Q43" s="428"/>
      <c r="R43" s="428"/>
      <c r="S43" s="392"/>
      <c r="T43" s="392"/>
      <c r="U43" s="392"/>
      <c r="V43" s="392"/>
      <c r="W43" s="392"/>
      <c r="X43" s="392"/>
      <c r="Y43" s="392"/>
      <c r="Z43" s="392"/>
      <c r="AA43" s="311"/>
      <c r="AB43" s="312"/>
      <c r="AC43" s="312"/>
      <c r="AD43" s="312"/>
    </row>
    <row r="44" spans="1:30" x14ac:dyDescent="0.2">
      <c r="A44" s="16"/>
      <c r="B44" s="57"/>
      <c r="C44" s="10" t="s">
        <v>7</v>
      </c>
      <c r="D44" s="123">
        <f>IF((E44&gt;100),"Cannot borrow more than School Estimate",'School DATA (Locked)'!H12+'School DATA (Locked)'!H13)</f>
        <v>100</v>
      </c>
      <c r="E44" s="135">
        <v>100</v>
      </c>
      <c r="F44" s="443"/>
      <c r="G44" s="441">
        <f>G43</f>
        <v>38</v>
      </c>
      <c r="H44" s="440">
        <f>E46*G33*G44</f>
        <v>1140</v>
      </c>
      <c r="I44" s="440">
        <f>J44*G35*E46</f>
        <v>1560</v>
      </c>
      <c r="J44" s="454">
        <f>J43</f>
        <v>52</v>
      </c>
      <c r="K44" s="454"/>
      <c r="L44" s="428"/>
      <c r="M44" s="428"/>
      <c r="N44" s="428"/>
      <c r="O44" s="428"/>
      <c r="P44" s="428"/>
      <c r="Q44" s="428"/>
      <c r="R44" s="428"/>
      <c r="S44" s="392"/>
      <c r="T44" s="392"/>
      <c r="U44" s="392"/>
      <c r="V44" s="392"/>
      <c r="W44" s="392"/>
      <c r="X44" s="392"/>
      <c r="Y44" s="392"/>
      <c r="Z44" s="392"/>
      <c r="AA44" s="311"/>
      <c r="AB44" s="312"/>
      <c r="AC44" s="312"/>
      <c r="AD44" s="312"/>
    </row>
    <row r="45" spans="1:30" x14ac:dyDescent="0.2">
      <c r="A45" s="16"/>
      <c r="B45" s="57"/>
      <c r="C45" s="10" t="s">
        <v>3</v>
      </c>
      <c r="D45" s="123">
        <f>IF((E45&gt;20),"Cannot borrow more than School Estimate",'School DATA (Locked)'!H14)</f>
        <v>20</v>
      </c>
      <c r="E45" s="135">
        <v>20</v>
      </c>
      <c r="F45" s="443"/>
      <c r="G45" s="441">
        <f>G44</f>
        <v>38</v>
      </c>
      <c r="H45" s="440">
        <f>E47*G34*G45</f>
        <v>3648</v>
      </c>
      <c r="I45" s="440">
        <f>J45*G36*E47</f>
        <v>4992</v>
      </c>
      <c r="J45" s="454">
        <f>J44</f>
        <v>52</v>
      </c>
      <c r="K45" s="454"/>
      <c r="L45" s="428"/>
      <c r="M45" s="428"/>
      <c r="N45" s="428"/>
      <c r="O45" s="428"/>
      <c r="P45" s="428"/>
      <c r="Q45" s="428"/>
      <c r="R45" s="428"/>
      <c r="S45" s="392"/>
      <c r="T45" s="392"/>
      <c r="U45" s="392"/>
      <c r="V45" s="392"/>
      <c r="W45" s="392"/>
      <c r="X45" s="392"/>
      <c r="Y45" s="392"/>
      <c r="Z45" s="392"/>
      <c r="AA45" s="311"/>
      <c r="AB45" s="312"/>
      <c r="AC45" s="312"/>
      <c r="AD45" s="312"/>
    </row>
    <row r="46" spans="1:30" x14ac:dyDescent="0.2">
      <c r="A46" s="16"/>
      <c r="B46" s="57"/>
      <c r="C46" s="10" t="s">
        <v>274</v>
      </c>
      <c r="D46" s="123">
        <f>IF((E46&gt;25),"Cannot borrow more than School Estimate",'School DATA (Locked)'!H15)</f>
        <v>25</v>
      </c>
      <c r="E46" s="135">
        <v>25</v>
      </c>
      <c r="F46" s="443"/>
      <c r="G46" s="441"/>
      <c r="H46" s="440"/>
      <c r="I46" s="440"/>
      <c r="J46" s="428"/>
      <c r="K46" s="428"/>
      <c r="L46" s="428"/>
      <c r="M46" s="428"/>
      <c r="N46" s="428"/>
      <c r="O46" s="428"/>
      <c r="P46" s="428"/>
      <c r="Q46" s="428"/>
      <c r="R46" s="428"/>
      <c r="S46" s="392"/>
      <c r="T46" s="392"/>
      <c r="U46" s="392"/>
      <c r="V46" s="392"/>
      <c r="W46" s="392"/>
      <c r="X46" s="392"/>
      <c r="Y46" s="392"/>
      <c r="Z46" s="392"/>
      <c r="AA46" s="311"/>
      <c r="AB46" s="312"/>
      <c r="AC46" s="312"/>
      <c r="AD46" s="312"/>
    </row>
    <row r="47" spans="1:30" x14ac:dyDescent="0.2">
      <c r="A47" s="16"/>
      <c r="B47" s="57"/>
      <c r="C47" s="10" t="s">
        <v>2</v>
      </c>
      <c r="D47" s="123">
        <f>IF((E47&gt;80),"Cannot borrow more than School Estimate",'School DATA (Locked)'!H16)</f>
        <v>80</v>
      </c>
      <c r="E47" s="135">
        <v>80</v>
      </c>
      <c r="F47" s="443"/>
      <c r="G47" s="428"/>
      <c r="H47" s="440"/>
      <c r="I47" s="440"/>
      <c r="J47" s="428"/>
      <c r="K47" s="428"/>
      <c r="L47" s="428"/>
      <c r="M47" s="428"/>
      <c r="N47" s="428"/>
      <c r="O47" s="428"/>
      <c r="P47" s="428"/>
      <c r="Q47" s="428"/>
      <c r="R47" s="428"/>
      <c r="S47" s="392"/>
      <c r="T47" s="392"/>
      <c r="U47" s="392"/>
      <c r="V47" s="392"/>
      <c r="W47" s="392"/>
      <c r="X47" s="392"/>
      <c r="Y47" s="392"/>
      <c r="Z47" s="392"/>
      <c r="AA47" s="311"/>
      <c r="AB47" s="312"/>
      <c r="AC47" s="312"/>
      <c r="AD47" s="312"/>
    </row>
    <row r="48" spans="1:30" ht="21" thickBot="1" x14ac:dyDescent="0.35">
      <c r="A48" s="136"/>
      <c r="B48" s="137"/>
      <c r="C48" s="138"/>
      <c r="D48" s="24"/>
      <c r="E48" s="25"/>
      <c r="F48" s="453"/>
      <c r="G48" s="428"/>
      <c r="H48" s="420" t="s">
        <v>179</v>
      </c>
      <c r="I48" s="440"/>
      <c r="J48" s="428"/>
      <c r="K48" s="418" t="s">
        <v>84</v>
      </c>
      <c r="L48" s="428"/>
      <c r="M48" s="428"/>
      <c r="N48" s="428"/>
      <c r="O48" s="428"/>
      <c r="P48" s="428"/>
      <c r="Q48" s="428"/>
      <c r="R48" s="428"/>
      <c r="S48" s="392"/>
      <c r="T48" s="392"/>
      <c r="U48" s="392"/>
      <c r="V48" s="392"/>
      <c r="W48" s="392"/>
      <c r="X48" s="392"/>
      <c r="Y48" s="392"/>
      <c r="Z48" s="392"/>
      <c r="AA48" s="311"/>
      <c r="AB48" s="312"/>
      <c r="AC48" s="312"/>
      <c r="AD48" s="312"/>
    </row>
    <row r="49" spans="1:30" ht="21" thickBot="1" x14ac:dyDescent="0.35">
      <c r="A49" s="12"/>
      <c r="B49" s="12"/>
      <c r="C49" s="13"/>
      <c r="D49" s="26"/>
      <c r="E49" s="23"/>
      <c r="F49" s="518" t="str">
        <f>IF(SUM(E52:E58)&gt;SUM(D52:D58)*1.1,"You are attempting to borrow over the maximum School's Estimate per year in Section 3","")</f>
        <v/>
      </c>
      <c r="G49" s="428"/>
      <c r="H49" s="420"/>
      <c r="I49" s="440"/>
      <c r="J49" s="428"/>
      <c r="K49" s="418"/>
      <c r="L49" s="428"/>
      <c r="M49" s="428"/>
      <c r="N49" s="428"/>
      <c r="O49" s="428"/>
      <c r="P49" s="428"/>
      <c r="Q49" s="428"/>
      <c r="R49" s="428"/>
      <c r="S49" s="392"/>
      <c r="T49" s="392"/>
      <c r="U49" s="392"/>
      <c r="V49" s="392"/>
      <c r="W49" s="392"/>
      <c r="X49" s="392"/>
      <c r="Y49" s="392"/>
      <c r="Z49" s="392"/>
      <c r="AA49" s="311"/>
      <c r="AB49" s="312"/>
      <c r="AC49" s="312"/>
      <c r="AD49" s="312"/>
    </row>
    <row r="50" spans="1:30" ht="15.75" x14ac:dyDescent="0.25">
      <c r="A50" s="125">
        <v>3</v>
      </c>
      <c r="B50" s="126" t="s">
        <v>159</v>
      </c>
      <c r="C50" s="127"/>
      <c r="D50" s="128"/>
      <c r="E50" s="128"/>
      <c r="F50" s="518"/>
      <c r="G50" s="455">
        <f>D7</f>
        <v>1.2</v>
      </c>
      <c r="H50" s="440">
        <f t="shared" ref="H50:H56" si="0">E52*G50</f>
        <v>3120</v>
      </c>
      <c r="I50" s="440"/>
      <c r="J50" s="428"/>
      <c r="K50" s="428"/>
      <c r="L50" s="428" t="s">
        <v>86</v>
      </c>
      <c r="M50" s="428" t="s">
        <v>161</v>
      </c>
      <c r="N50" s="428" t="s">
        <v>172</v>
      </c>
      <c r="O50" s="428" t="s">
        <v>163</v>
      </c>
      <c r="P50" s="428"/>
      <c r="Q50" s="428"/>
      <c r="R50" s="428"/>
      <c r="S50" s="392"/>
      <c r="T50" s="392"/>
      <c r="U50" s="392"/>
      <c r="V50" s="392"/>
      <c r="W50" s="392"/>
      <c r="X50" s="392"/>
      <c r="Y50" s="392"/>
      <c r="Z50" s="392"/>
      <c r="AA50" s="311"/>
      <c r="AB50" s="312"/>
      <c r="AC50" s="312"/>
      <c r="AD50" s="312"/>
    </row>
    <row r="51" spans="1:30" ht="16.5" thickBot="1" x14ac:dyDescent="0.3">
      <c r="A51" s="129"/>
      <c r="B51" s="130"/>
      <c r="C51" s="131"/>
      <c r="D51" s="132" t="s">
        <v>425</v>
      </c>
      <c r="E51" s="132" t="str">
        <f>E42</f>
        <v>Your Request</v>
      </c>
      <c r="G51" s="428">
        <f t="shared" ref="G51:G56" si="1">G50</f>
        <v>1.2</v>
      </c>
      <c r="H51" s="440">
        <f t="shared" si="0"/>
        <v>0</v>
      </c>
      <c r="I51" s="440"/>
      <c r="J51" s="428"/>
      <c r="K51" s="428" t="s">
        <v>85</v>
      </c>
      <c r="L51" s="428"/>
      <c r="M51" s="428" t="s">
        <v>162</v>
      </c>
      <c r="N51" s="428" t="s">
        <v>40</v>
      </c>
      <c r="O51" s="428" t="s">
        <v>164</v>
      </c>
      <c r="P51" s="428"/>
      <c r="Q51" s="428"/>
      <c r="R51" s="428"/>
      <c r="S51" s="392"/>
      <c r="T51" s="392"/>
      <c r="U51" s="392"/>
      <c r="V51" s="392"/>
      <c r="W51" s="392"/>
      <c r="X51" s="392"/>
      <c r="Y51" s="392"/>
      <c r="Z51" s="392"/>
      <c r="AA51" s="311"/>
      <c r="AB51" s="312"/>
      <c r="AC51" s="312"/>
      <c r="AD51" s="312"/>
    </row>
    <row r="52" spans="1:30" x14ac:dyDescent="0.2">
      <c r="A52" s="16"/>
      <c r="B52" s="57"/>
      <c r="C52" s="323" t="s">
        <v>361</v>
      </c>
      <c r="D52" s="124">
        <f>IF((E52&gt;2600),"Cannot borrow more than School Estimate",'School DATA (Locked)'!H19*2)</f>
        <v>2600</v>
      </c>
      <c r="E52" s="135">
        <v>2600</v>
      </c>
      <c r="F52" s="443"/>
      <c r="G52" s="428">
        <f t="shared" si="1"/>
        <v>1.2</v>
      </c>
      <c r="H52" s="440">
        <f t="shared" si="0"/>
        <v>1200</v>
      </c>
      <c r="I52" s="440"/>
      <c r="J52" s="428"/>
      <c r="K52" s="428" t="s">
        <v>187</v>
      </c>
      <c r="L52" s="456">
        <f>'School DATA (Locked)'!D38</f>
        <v>1.0589999999999999</v>
      </c>
      <c r="M52" s="456">
        <f>'School DATA (Locked)'!E38</f>
        <v>0</v>
      </c>
      <c r="N52" s="456">
        <f>L52-M52</f>
        <v>1.0589999999999999</v>
      </c>
      <c r="O52" s="457">
        <f>N52*0.01</f>
        <v>1.059E-2</v>
      </c>
      <c r="P52" s="428"/>
      <c r="Q52" s="428"/>
      <c r="R52" s="428"/>
      <c r="S52" s="392"/>
      <c r="T52" s="392"/>
      <c r="U52" s="392"/>
      <c r="V52" s="392"/>
      <c r="W52" s="392"/>
      <c r="X52" s="392"/>
      <c r="Y52" s="392"/>
      <c r="Z52" s="392"/>
      <c r="AA52" s="311"/>
      <c r="AB52" s="312"/>
      <c r="AC52" s="312"/>
      <c r="AD52" s="312"/>
    </row>
    <row r="53" spans="1:30" x14ac:dyDescent="0.2">
      <c r="A53" s="16"/>
      <c r="B53" s="57"/>
      <c r="C53" s="83"/>
      <c r="D53" s="124"/>
      <c r="E53" s="243"/>
      <c r="F53" s="443"/>
      <c r="G53" s="428">
        <f t="shared" si="1"/>
        <v>1.2</v>
      </c>
      <c r="H53" s="440">
        <f t="shared" si="0"/>
        <v>360</v>
      </c>
      <c r="I53" s="440"/>
      <c r="J53" s="428"/>
      <c r="K53" s="428" t="s">
        <v>188</v>
      </c>
      <c r="L53" s="456">
        <f>'School DATA (Locked)'!D39</f>
        <v>1.0620000000000001</v>
      </c>
      <c r="M53" s="456">
        <f>'School DATA (Locked)'!E39</f>
        <v>0</v>
      </c>
      <c r="N53" s="456">
        <f>L53-M53</f>
        <v>1.0620000000000001</v>
      </c>
      <c r="O53" s="457">
        <f>N53*0.01</f>
        <v>1.0620000000000001E-2</v>
      </c>
      <c r="P53" s="428"/>
      <c r="Q53" s="428"/>
      <c r="R53" s="428"/>
      <c r="S53" s="392"/>
      <c r="T53" s="392"/>
      <c r="U53" s="392"/>
      <c r="V53" s="392"/>
      <c r="W53" s="392"/>
      <c r="X53" s="392"/>
      <c r="Y53" s="392"/>
      <c r="Z53" s="392"/>
      <c r="AA53" s="311"/>
      <c r="AB53" s="312"/>
      <c r="AC53" s="312"/>
      <c r="AD53" s="312"/>
    </row>
    <row r="54" spans="1:30" x14ac:dyDescent="0.2">
      <c r="A54" s="16"/>
      <c r="B54" s="57"/>
      <c r="C54" s="164" t="s">
        <v>276</v>
      </c>
      <c r="D54" s="124">
        <f>IF((E54&gt;1000),"Cannot borrow more than School Estimate",'School DATA (Locked)'!H21)</f>
        <v>1000</v>
      </c>
      <c r="E54" s="135">
        <v>1000</v>
      </c>
      <c r="F54" s="443"/>
      <c r="G54" s="428">
        <f t="shared" si="1"/>
        <v>1.2</v>
      </c>
      <c r="H54" s="440">
        <f t="shared" si="0"/>
        <v>1140</v>
      </c>
      <c r="I54" s="440"/>
      <c r="J54" s="428"/>
      <c r="K54" s="428" t="s">
        <v>189</v>
      </c>
      <c r="L54" s="456">
        <f>'School DATA (Locked)'!D40</f>
        <v>4.226</v>
      </c>
      <c r="M54" s="456">
        <f>'School DATA (Locked)'!E40</f>
        <v>0</v>
      </c>
      <c r="N54" s="456">
        <f>L54-M54</f>
        <v>4.226</v>
      </c>
      <c r="O54" s="457">
        <f>N54*0.01</f>
        <v>4.2259999999999999E-2</v>
      </c>
      <c r="P54" s="428"/>
      <c r="Q54" s="428"/>
      <c r="R54" s="428"/>
      <c r="S54" s="392"/>
      <c r="T54" s="392"/>
      <c r="U54" s="392"/>
      <c r="V54" s="392"/>
      <c r="W54" s="392"/>
      <c r="X54" s="392"/>
      <c r="Y54" s="392"/>
      <c r="Z54" s="392"/>
      <c r="AA54" s="311"/>
      <c r="AB54" s="312"/>
      <c r="AC54" s="312"/>
      <c r="AD54" s="312"/>
    </row>
    <row r="55" spans="1:30" x14ac:dyDescent="0.2">
      <c r="A55" s="16"/>
      <c r="B55" s="57"/>
      <c r="C55" s="164" t="str">
        <f>'School DATA (Locked)'!G22</f>
        <v>Immigration Card</v>
      </c>
      <c r="D55" s="124">
        <f>IF((E55&gt;300),"Cannot borrow more than School Estimate",'School DATA (Locked)'!H22)</f>
        <v>300</v>
      </c>
      <c r="E55" s="135">
        <v>300</v>
      </c>
      <c r="F55" s="443"/>
      <c r="G55" s="428">
        <f t="shared" si="1"/>
        <v>1.2</v>
      </c>
      <c r="H55" s="440">
        <f t="shared" si="0"/>
        <v>0</v>
      </c>
      <c r="I55" s="440"/>
      <c r="J55" s="428"/>
      <c r="K55" s="428"/>
      <c r="L55" s="428"/>
      <c r="M55" s="428"/>
      <c r="N55" s="428"/>
      <c r="O55" s="428"/>
      <c r="P55" s="428"/>
      <c r="Q55" s="428"/>
      <c r="R55" s="428"/>
      <c r="S55" s="392"/>
      <c r="T55" s="392"/>
      <c r="U55" s="392"/>
      <c r="V55" s="392"/>
      <c r="W55" s="392"/>
      <c r="X55" s="392"/>
      <c r="Y55" s="392"/>
      <c r="Z55" s="392"/>
      <c r="AA55" s="311"/>
      <c r="AB55" s="312"/>
      <c r="AC55" s="312"/>
      <c r="AD55" s="312"/>
    </row>
    <row r="56" spans="1:30" x14ac:dyDescent="0.2">
      <c r="A56" s="16"/>
      <c r="B56" s="57"/>
      <c r="C56" s="164" t="str">
        <f>'School DATA (Locked)'!G23</f>
        <v>Health and Dental Insurance</v>
      </c>
      <c r="D56" s="124">
        <f>IF((E56&gt;950),"Cannot borrow more than School Estimate",'School DATA (Locked)'!H23)</f>
        <v>950</v>
      </c>
      <c r="E56" s="135">
        <v>950</v>
      </c>
      <c r="F56" s="443"/>
      <c r="G56" s="428">
        <f t="shared" si="1"/>
        <v>1.2</v>
      </c>
      <c r="H56" s="440">
        <f t="shared" si="0"/>
        <v>0</v>
      </c>
      <c r="I56" s="428"/>
      <c r="J56" s="428"/>
      <c r="K56" s="428"/>
      <c r="L56" s="428"/>
      <c r="M56" s="428"/>
      <c r="N56" s="428"/>
      <c r="O56" s="428"/>
      <c r="P56" s="428"/>
      <c r="Q56" s="428"/>
      <c r="R56" s="428"/>
      <c r="S56" s="392"/>
      <c r="T56" s="392"/>
      <c r="U56" s="392"/>
      <c r="V56" s="392"/>
      <c r="W56" s="392"/>
      <c r="X56" s="392"/>
      <c r="Y56" s="392"/>
      <c r="Z56" s="392"/>
      <c r="AA56" s="311"/>
      <c r="AB56" s="312"/>
      <c r="AC56" s="312"/>
      <c r="AD56" s="312"/>
    </row>
    <row r="57" spans="1:30" x14ac:dyDescent="0.2">
      <c r="A57" s="16"/>
      <c r="B57" s="57"/>
      <c r="C57" s="164" t="str">
        <f>'School DATA (Locked)'!G24</f>
        <v>Add any other essential costs - requested additions</v>
      </c>
      <c r="D57" s="124">
        <f>'School DATA (Locked)'!H24</f>
        <v>0</v>
      </c>
      <c r="E57" s="135">
        <f>D57</f>
        <v>0</v>
      </c>
      <c r="F57" s="443"/>
      <c r="G57" s="428"/>
      <c r="H57" s="428"/>
      <c r="I57" s="428"/>
      <c r="J57" s="428"/>
      <c r="K57" s="428"/>
      <c r="L57" s="428"/>
      <c r="M57" s="428"/>
      <c r="N57" s="428"/>
      <c r="O57" s="428"/>
      <c r="P57" s="428"/>
      <c r="Q57" s="428"/>
      <c r="R57" s="428"/>
      <c r="S57" s="392"/>
      <c r="T57" s="392"/>
      <c r="U57" s="392"/>
      <c r="V57" s="392"/>
      <c r="W57" s="392"/>
      <c r="X57" s="392"/>
      <c r="Y57" s="392"/>
      <c r="Z57" s="392"/>
      <c r="AA57" s="311"/>
      <c r="AB57" s="312"/>
      <c r="AC57" s="312"/>
      <c r="AD57" s="312"/>
    </row>
    <row r="58" spans="1:30" ht="21" thickBot="1" x14ac:dyDescent="0.35">
      <c r="A58" s="136"/>
      <c r="B58" s="137"/>
      <c r="C58" s="165" t="str">
        <f>'School DATA (Locked)'!G25</f>
        <v>Add any other essential costs - requested additions</v>
      </c>
      <c r="D58" s="140">
        <f>'School DATA (Locked)'!H25</f>
        <v>0</v>
      </c>
      <c r="E58" s="135">
        <f>D58</f>
        <v>0</v>
      </c>
      <c r="F58" s="453"/>
      <c r="G58" s="458"/>
      <c r="H58" s="420" t="s">
        <v>180</v>
      </c>
      <c r="I58" s="428"/>
      <c r="J58" s="418"/>
      <c r="K58" s="442" t="s">
        <v>52</v>
      </c>
      <c r="L58" s="442" t="s">
        <v>53</v>
      </c>
      <c r="M58" s="420" t="s">
        <v>191</v>
      </c>
      <c r="N58" s="420" t="s">
        <v>186</v>
      </c>
      <c r="O58" s="428"/>
      <c r="P58" s="428"/>
      <c r="Q58" s="428"/>
      <c r="R58" s="428"/>
      <c r="S58" s="392"/>
      <c r="T58" s="392"/>
      <c r="U58" s="392"/>
      <c r="V58" s="392"/>
      <c r="W58" s="392"/>
      <c r="X58" s="392"/>
      <c r="Y58" s="392"/>
      <c r="Z58" s="392"/>
      <c r="AA58" s="311"/>
      <c r="AB58" s="312"/>
      <c r="AC58" s="312"/>
      <c r="AD58" s="312"/>
    </row>
    <row r="59" spans="1:30" ht="21" thickBot="1" x14ac:dyDescent="0.35">
      <c r="B59" s="12"/>
      <c r="C59" s="13"/>
      <c r="D59" s="27"/>
      <c r="E59" s="23"/>
      <c r="F59" s="459"/>
      <c r="G59" s="460" t="s">
        <v>184</v>
      </c>
      <c r="H59" s="461" t="s">
        <v>25</v>
      </c>
      <c r="I59" s="428"/>
      <c r="J59" s="428" t="s">
        <v>47</v>
      </c>
      <c r="K59" s="435">
        <f>H69</f>
        <v>23604</v>
      </c>
      <c r="L59" s="435"/>
      <c r="M59" s="428"/>
      <c r="N59" s="428"/>
      <c r="O59" s="428"/>
      <c r="P59" s="428"/>
      <c r="Q59" s="428"/>
      <c r="R59" s="428"/>
      <c r="S59" s="392"/>
      <c r="T59" s="392"/>
      <c r="U59" s="392"/>
      <c r="V59" s="392"/>
      <c r="W59" s="392"/>
      <c r="X59" s="392"/>
      <c r="Y59" s="392"/>
      <c r="Z59" s="392"/>
      <c r="AA59" s="311"/>
      <c r="AB59" s="312"/>
      <c r="AC59" s="312"/>
      <c r="AD59" s="312"/>
    </row>
    <row r="60" spans="1:30" s="97" customFormat="1" ht="20.25" x14ac:dyDescent="0.3">
      <c r="A60" s="125">
        <v>4</v>
      </c>
      <c r="B60" s="141"/>
      <c r="C60" s="142" t="s">
        <v>362</v>
      </c>
      <c r="D60" s="143"/>
      <c r="E60" s="128"/>
      <c r="F60" s="462"/>
      <c r="G60" s="463" t="s">
        <v>26</v>
      </c>
      <c r="H60" s="464">
        <f>ROUND(H32,0)</f>
        <v>0</v>
      </c>
      <c r="I60" s="428"/>
      <c r="J60" s="428" t="s">
        <v>48</v>
      </c>
      <c r="K60" s="435">
        <f>-D33</f>
        <v>0</v>
      </c>
      <c r="L60" s="435"/>
      <c r="M60" s="418"/>
      <c r="N60" s="428"/>
      <c r="O60" s="418"/>
      <c r="P60" s="428"/>
      <c r="Q60" s="428"/>
      <c r="R60" s="428"/>
      <c r="S60" s="392"/>
      <c r="T60" s="392"/>
      <c r="U60" s="390"/>
      <c r="V60" s="390"/>
      <c r="W60" s="390"/>
      <c r="X60" s="390"/>
      <c r="Y60" s="390"/>
      <c r="Z60" s="390"/>
      <c r="AA60" s="307"/>
      <c r="AB60" s="308"/>
      <c r="AC60" s="308"/>
      <c r="AD60" s="308"/>
    </row>
    <row r="61" spans="1:30" ht="25.5" customHeight="1" x14ac:dyDescent="0.3">
      <c r="A61" s="144"/>
      <c r="B61" s="145"/>
      <c r="C61" s="161" t="str">
        <f>G59</f>
        <v>Requested Cost of Attendance (Values rounded)</v>
      </c>
      <c r="D61" s="3" t="str">
        <f>H59</f>
        <v>$</v>
      </c>
      <c r="E61" s="155"/>
      <c r="F61" s="462"/>
      <c r="G61" s="463" t="s">
        <v>27</v>
      </c>
      <c r="H61" s="464">
        <f>ROUND((IF(D27="N",I41,H41)),0)</f>
        <v>7524</v>
      </c>
      <c r="I61" s="428"/>
      <c r="J61" s="428" t="s">
        <v>51</v>
      </c>
      <c r="K61" s="435">
        <f>IF((SUM(K59:K60)&gt;0),(SUM(K59:K60)),0)</f>
        <v>23604</v>
      </c>
      <c r="L61" s="435"/>
      <c r="M61" s="428"/>
      <c r="N61" s="435">
        <f>IF((K61&lt;K63),(K63-K61),0)</f>
        <v>0</v>
      </c>
      <c r="O61" s="428"/>
      <c r="P61" s="428"/>
      <c r="Q61" s="428" t="s">
        <v>414</v>
      </c>
      <c r="R61" s="435">
        <f>E92</f>
        <v>23605</v>
      </c>
      <c r="S61" s="392"/>
      <c r="T61" s="392"/>
      <c r="U61" s="392"/>
      <c r="V61" s="392"/>
      <c r="W61" s="392"/>
      <c r="X61" s="392"/>
      <c r="Y61" s="392"/>
      <c r="Z61" s="392"/>
      <c r="AA61" s="311"/>
      <c r="AB61" s="312"/>
      <c r="AC61" s="312"/>
      <c r="AD61" s="312"/>
    </row>
    <row r="62" spans="1:30" ht="15" x14ac:dyDescent="0.2">
      <c r="A62" s="300"/>
      <c r="B62" s="147"/>
      <c r="C62" s="63" t="str">
        <f>G60</f>
        <v>Tuition Fees</v>
      </c>
      <c r="D62" s="65">
        <f>H60</f>
        <v>0</v>
      </c>
      <c r="E62" s="156"/>
      <c r="F62" s="462"/>
      <c r="G62" s="463" t="s">
        <v>28</v>
      </c>
      <c r="H62" s="464">
        <f>ROUND((IF(D27="N",I42,H42)),0)</f>
        <v>4560</v>
      </c>
      <c r="I62" s="428"/>
      <c r="J62" s="428" t="s">
        <v>185</v>
      </c>
      <c r="K62" s="435">
        <f>G28</f>
        <v>3500</v>
      </c>
      <c r="L62" s="435"/>
      <c r="M62" s="428"/>
      <c r="N62" s="428"/>
      <c r="O62" s="428"/>
      <c r="P62" s="428"/>
      <c r="Q62" s="428"/>
      <c r="R62" s="428"/>
      <c r="S62" s="392"/>
      <c r="T62" s="392"/>
      <c r="U62" s="392"/>
      <c r="V62" s="392"/>
      <c r="W62" s="392"/>
      <c r="X62" s="392"/>
      <c r="Y62" s="392"/>
      <c r="Z62" s="392"/>
      <c r="AA62" s="311"/>
      <c r="AB62" s="312"/>
      <c r="AC62" s="312"/>
      <c r="AD62" s="312"/>
    </row>
    <row r="63" spans="1:30" ht="15" x14ac:dyDescent="0.2">
      <c r="A63" s="146"/>
      <c r="B63" s="147"/>
      <c r="C63" s="63" t="str">
        <f t="shared" ref="C63:C70" si="2">G61</f>
        <v>Room</v>
      </c>
      <c r="D63" s="65">
        <f t="shared" ref="D63:D70" si="3">H61</f>
        <v>7524</v>
      </c>
      <c r="E63" s="156"/>
      <c r="F63" s="462"/>
      <c r="G63" s="463" t="s">
        <v>29</v>
      </c>
      <c r="H63" s="464">
        <f>ROUND((IF(D27="N",I43,H43)),0)</f>
        <v>912</v>
      </c>
      <c r="I63" s="428"/>
      <c r="J63" s="420" t="s">
        <v>49</v>
      </c>
      <c r="K63" s="465">
        <f>IF((((K61/(100-N52))*100)&lt;K62),((K61/(100-N52))*100),K62)</f>
        <v>3500</v>
      </c>
      <c r="L63" s="435"/>
      <c r="M63" s="428">
        <f>IF((N61&gt;0),0,(K63*O52))</f>
        <v>37.065000000000005</v>
      </c>
      <c r="N63" s="428"/>
      <c r="O63" s="428"/>
      <c r="P63" s="435"/>
      <c r="Q63" s="428"/>
      <c r="R63" s="428"/>
      <c r="S63" s="392"/>
      <c r="T63" s="392"/>
      <c r="U63" s="392"/>
      <c r="V63" s="392"/>
      <c r="W63" s="392"/>
      <c r="X63" s="392"/>
      <c r="Y63" s="392"/>
      <c r="Z63" s="392"/>
      <c r="AA63" s="311"/>
      <c r="AB63" s="312"/>
      <c r="AC63" s="312"/>
      <c r="AD63" s="312"/>
    </row>
    <row r="64" spans="1:30" ht="15" x14ac:dyDescent="0.2">
      <c r="A64" s="146"/>
      <c r="B64" s="147"/>
      <c r="C64" s="63" t="str">
        <f t="shared" si="2"/>
        <v>Board</v>
      </c>
      <c r="D64" s="65">
        <f t="shared" si="3"/>
        <v>4560</v>
      </c>
      <c r="E64" s="156"/>
      <c r="F64" s="462"/>
      <c r="G64" s="463" t="s">
        <v>30</v>
      </c>
      <c r="H64" s="464">
        <f>ROUND((IF(D27="N",I44,H44)),0)</f>
        <v>1140</v>
      </c>
      <c r="I64" s="428"/>
      <c r="J64" s="428"/>
      <c r="K64" s="435"/>
      <c r="L64" s="435"/>
      <c r="M64" s="428"/>
      <c r="N64" s="428"/>
      <c r="O64" s="428"/>
      <c r="P64" s="428"/>
      <c r="Q64" s="428"/>
      <c r="R64" s="428"/>
      <c r="S64" s="392"/>
      <c r="T64" s="392"/>
      <c r="U64" s="392"/>
      <c r="V64" s="392"/>
      <c r="W64" s="392"/>
      <c r="X64" s="392"/>
      <c r="Y64" s="392"/>
      <c r="Z64" s="392"/>
      <c r="AA64" s="311"/>
      <c r="AB64" s="312"/>
      <c r="AC64" s="312"/>
      <c r="AD64" s="312"/>
    </row>
    <row r="65" spans="1:30" ht="15" x14ac:dyDescent="0.2">
      <c r="A65" s="146"/>
      <c r="B65" s="147"/>
      <c r="C65" s="63" t="str">
        <f t="shared" si="2"/>
        <v>Books</v>
      </c>
      <c r="D65" s="65">
        <f t="shared" si="3"/>
        <v>912</v>
      </c>
      <c r="E65" s="156"/>
      <c r="F65" s="462"/>
      <c r="G65" s="463" t="s">
        <v>2</v>
      </c>
      <c r="H65" s="464">
        <f>ROUND((IF(D27="N",I45,H45)),0)</f>
        <v>3648</v>
      </c>
      <c r="I65" s="428"/>
      <c r="J65" s="428" t="s">
        <v>55</v>
      </c>
      <c r="K65" s="435"/>
      <c r="L65" s="435">
        <f>IF((N61&gt;0),(K59+N61-K63),(K59-K63+M63))</f>
        <v>20141.064999999999</v>
      </c>
      <c r="M65" s="428"/>
      <c r="N65" s="435">
        <f>IF((((L67-L65)&gt;0)),(L67-L65),0)</f>
        <v>0</v>
      </c>
      <c r="O65" s="428"/>
      <c r="P65" s="428"/>
      <c r="Q65" s="428"/>
      <c r="R65" s="428"/>
      <c r="S65" s="392"/>
      <c r="T65" s="392"/>
      <c r="U65" s="392"/>
      <c r="V65" s="392"/>
      <c r="W65" s="392"/>
      <c r="X65" s="392"/>
      <c r="Y65" s="392"/>
      <c r="Z65" s="392"/>
      <c r="AA65" s="311"/>
      <c r="AB65" s="312"/>
      <c r="AC65" s="312"/>
      <c r="AD65" s="312"/>
    </row>
    <row r="66" spans="1:30" ht="15.75" thickBot="1" x14ac:dyDescent="0.25">
      <c r="A66" s="146"/>
      <c r="B66" s="147"/>
      <c r="C66" s="63" t="str">
        <f t="shared" si="2"/>
        <v>Travel</v>
      </c>
      <c r="D66" s="65">
        <f t="shared" si="3"/>
        <v>1140</v>
      </c>
      <c r="E66" s="156"/>
      <c r="F66" s="462"/>
      <c r="G66" s="463" t="s">
        <v>37</v>
      </c>
      <c r="H66" s="466">
        <f>SUM(H50:H56)</f>
        <v>5820</v>
      </c>
      <c r="I66" s="428"/>
      <c r="J66" s="428" t="s">
        <v>54</v>
      </c>
      <c r="K66" s="435"/>
      <c r="L66" s="435">
        <f>G28+I28-K63</f>
        <v>2000</v>
      </c>
      <c r="M66" s="428"/>
      <c r="N66" s="428"/>
      <c r="O66" s="428"/>
      <c r="P66" s="428"/>
      <c r="Q66" s="428"/>
      <c r="R66" s="428"/>
      <c r="S66" s="392"/>
      <c r="T66" s="392"/>
      <c r="U66" s="392"/>
      <c r="V66" s="392"/>
      <c r="W66" s="392"/>
      <c r="X66" s="392"/>
      <c r="Y66" s="392"/>
      <c r="Z66" s="392"/>
      <c r="AA66" s="311"/>
      <c r="AB66" s="312"/>
      <c r="AC66" s="312"/>
      <c r="AD66" s="312"/>
    </row>
    <row r="67" spans="1:30" ht="15.75" x14ac:dyDescent="0.25">
      <c r="A67" s="146"/>
      <c r="B67" s="147"/>
      <c r="C67" s="63" t="str">
        <f t="shared" si="2"/>
        <v>Personal</v>
      </c>
      <c r="D67" s="65">
        <f t="shared" si="3"/>
        <v>3648</v>
      </c>
      <c r="E67" s="156"/>
      <c r="F67" s="467"/>
      <c r="G67" s="468" t="s">
        <v>36</v>
      </c>
      <c r="H67" s="469">
        <f>SUM(H60:H66)</f>
        <v>23604</v>
      </c>
      <c r="I67" s="420"/>
      <c r="J67" s="420" t="s">
        <v>50</v>
      </c>
      <c r="K67" s="465"/>
      <c r="L67" s="465">
        <f>IF((((L65/(100-N53))*100)&lt;L66),((L65/(100-N53))*100),L66)</f>
        <v>2000</v>
      </c>
      <c r="M67" s="428">
        <f>+IF((N65&gt;0),0,(L67*O53))</f>
        <v>21.240000000000002</v>
      </c>
      <c r="N67" s="428"/>
      <c r="O67" s="428"/>
      <c r="P67" s="428"/>
      <c r="Q67" s="420"/>
      <c r="R67" s="420"/>
      <c r="S67" s="391"/>
      <c r="T67" s="392"/>
      <c r="U67" s="392"/>
      <c r="V67" s="392"/>
      <c r="W67" s="392"/>
      <c r="X67" s="392"/>
      <c r="Y67" s="392"/>
      <c r="Z67" s="392"/>
      <c r="AA67" s="311"/>
      <c r="AB67" s="312"/>
      <c r="AC67" s="312"/>
      <c r="AD67" s="312"/>
    </row>
    <row r="68" spans="1:30" ht="15" x14ac:dyDescent="0.2">
      <c r="A68" s="146"/>
      <c r="B68" s="147"/>
      <c r="C68" s="66" t="str">
        <f t="shared" si="2"/>
        <v>Other Essential Costs</v>
      </c>
      <c r="D68" s="67">
        <f t="shared" si="3"/>
        <v>5820</v>
      </c>
      <c r="E68" s="156"/>
      <c r="F68" s="462"/>
      <c r="G68" s="463" t="s">
        <v>58</v>
      </c>
      <c r="H68" s="464">
        <f>ROUND((-I37),0)</f>
        <v>0</v>
      </c>
      <c r="I68" s="428"/>
      <c r="J68" s="428"/>
      <c r="K68" s="435"/>
      <c r="L68" s="435"/>
      <c r="M68" s="428"/>
      <c r="N68" s="428"/>
      <c r="O68" s="428"/>
      <c r="P68" s="428"/>
      <c r="Q68" s="428"/>
      <c r="R68" s="428"/>
      <c r="S68" s="392"/>
      <c r="T68" s="392"/>
      <c r="U68" s="392"/>
      <c r="V68" s="392"/>
      <c r="W68" s="392"/>
      <c r="X68" s="392"/>
      <c r="Y68" s="392"/>
      <c r="Z68" s="392"/>
      <c r="AA68" s="311"/>
      <c r="AB68" s="312"/>
      <c r="AC68" s="312"/>
      <c r="AD68" s="312"/>
    </row>
    <row r="69" spans="1:30" s="78" customFormat="1" ht="16.5" thickBot="1" x14ac:dyDescent="0.3">
      <c r="A69" s="148"/>
      <c r="B69" s="149"/>
      <c r="C69" s="63" t="str">
        <f t="shared" si="2"/>
        <v>Total Cost of Attendance</v>
      </c>
      <c r="D69" s="65">
        <f t="shared" si="3"/>
        <v>23604</v>
      </c>
      <c r="E69" s="157"/>
      <c r="F69" s="462"/>
      <c r="G69" s="470" t="s">
        <v>77</v>
      </c>
      <c r="H69" s="471">
        <f>ROUND((SUM(H67:H68)),0)</f>
        <v>23604</v>
      </c>
      <c r="I69" s="428"/>
      <c r="J69" s="420" t="s">
        <v>181</v>
      </c>
      <c r="K69" s="435"/>
      <c r="L69" s="435"/>
      <c r="M69" s="420"/>
      <c r="N69" s="442"/>
      <c r="O69" s="420"/>
      <c r="P69" s="420"/>
      <c r="Q69" s="428"/>
      <c r="R69" s="428"/>
      <c r="S69" s="392"/>
      <c r="T69" s="391"/>
      <c r="U69" s="391"/>
      <c r="V69" s="391"/>
      <c r="W69" s="391"/>
      <c r="X69" s="391"/>
      <c r="Y69" s="391"/>
      <c r="Z69" s="391"/>
      <c r="AA69" s="309"/>
      <c r="AB69" s="310"/>
      <c r="AC69" s="310"/>
      <c r="AD69" s="310"/>
    </row>
    <row r="70" spans="1:30" ht="16.5" thickTop="1" x14ac:dyDescent="0.25">
      <c r="A70" s="146"/>
      <c r="B70" s="147"/>
      <c r="C70" s="63" t="str">
        <f t="shared" si="2"/>
        <v>Adjust for Sponsorship, Awards or other Aid</v>
      </c>
      <c r="D70" s="65">
        <f t="shared" si="3"/>
        <v>0</v>
      </c>
      <c r="E70" s="156"/>
      <c r="F70" s="462"/>
      <c r="G70" s="428"/>
      <c r="H70" s="435"/>
      <c r="I70" s="428"/>
      <c r="J70" s="428" t="s">
        <v>182</v>
      </c>
      <c r="K70" s="435">
        <f>IF((N65=0),(K59-K63-L67+M63+M67),0)</f>
        <v>18162.305</v>
      </c>
      <c r="L70" s="435"/>
      <c r="M70" s="428"/>
      <c r="N70" s="472"/>
      <c r="O70" s="473"/>
      <c r="P70" s="474"/>
      <c r="Q70" s="475"/>
      <c r="R70" s="474"/>
      <c r="S70" s="406"/>
      <c r="T70" s="407"/>
      <c r="U70" s="406"/>
      <c r="X70" s="392"/>
      <c r="Y70" s="392"/>
      <c r="Z70" s="392"/>
      <c r="AA70" s="311"/>
      <c r="AB70" s="312"/>
      <c r="AC70" s="312"/>
      <c r="AD70" s="312"/>
    </row>
    <row r="71" spans="1:30" ht="15.75" thickBot="1" x14ac:dyDescent="0.25">
      <c r="A71" s="150" t="str">
        <f>IF((D39="Private Loan"),"Private loan requested","")</f>
        <v/>
      </c>
      <c r="B71" s="147"/>
      <c r="C71" s="162" t="str">
        <f>G69</f>
        <v>Total Requested Cost of Attendance</v>
      </c>
      <c r="D71" s="163">
        <f>H69</f>
        <v>23604</v>
      </c>
      <c r="E71" s="156"/>
      <c r="F71" s="462"/>
      <c r="G71" s="476">
        <f>D71/D7</f>
        <v>19670</v>
      </c>
      <c r="H71" s="435" t="s">
        <v>398</v>
      </c>
      <c r="I71" s="428"/>
      <c r="J71" s="428"/>
      <c r="K71" s="435"/>
      <c r="L71" s="435"/>
      <c r="M71" s="428"/>
      <c r="N71" s="477">
        <f>D34-D36</f>
        <v>0</v>
      </c>
      <c r="O71" s="478"/>
      <c r="P71" s="479"/>
      <c r="Q71" s="480"/>
      <c r="R71" s="508"/>
      <c r="S71" s="408"/>
      <c r="T71" s="409"/>
      <c r="U71" s="410"/>
      <c r="V71" s="395"/>
      <c r="X71" s="392"/>
      <c r="Y71" s="392"/>
      <c r="Z71" s="392"/>
      <c r="AA71" s="311"/>
      <c r="AB71" s="312"/>
      <c r="AC71" s="312"/>
      <c r="AD71" s="312"/>
    </row>
    <row r="72" spans="1:30" ht="18.75" thickTop="1" x14ac:dyDescent="0.25">
      <c r="A72" s="146"/>
      <c r="B72" s="147"/>
      <c r="C72" s="101"/>
      <c r="D72" s="65"/>
      <c r="E72" s="156"/>
      <c r="F72" s="462"/>
      <c r="G72" s="428"/>
      <c r="H72" s="435"/>
      <c r="I72" s="428"/>
      <c r="J72" s="428"/>
      <c r="K72" s="435"/>
      <c r="L72" s="435"/>
      <c r="M72" s="428"/>
      <c r="N72" s="481">
        <f>N71*1.25</f>
        <v>0</v>
      </c>
      <c r="O72" s="478"/>
      <c r="P72" s="479"/>
      <c r="Q72" s="480"/>
      <c r="R72" s="509"/>
      <c r="S72" s="411"/>
      <c r="T72" s="409"/>
      <c r="U72" s="410"/>
      <c r="V72" s="395"/>
      <c r="X72" s="392"/>
      <c r="Y72" s="392"/>
      <c r="Z72" s="392"/>
      <c r="AA72" s="311"/>
      <c r="AB72" s="312"/>
      <c r="AC72" s="312"/>
      <c r="AD72" s="312"/>
    </row>
    <row r="73" spans="1:30" ht="51" x14ac:dyDescent="0.3">
      <c r="A73" s="146"/>
      <c r="B73" s="147"/>
      <c r="C73" s="101" t="str">
        <f>IF((D39=G12),"Maximum Private (Sallie Mae) loan we will certify is"," ")</f>
        <v xml:space="preserve"> </v>
      </c>
      <c r="D73" s="103" t="str">
        <f>IF((D39=G12),D81," ")</f>
        <v xml:space="preserve"> </v>
      </c>
      <c r="E73" s="156"/>
      <c r="F73" s="462"/>
      <c r="G73" s="460" t="s">
        <v>316</v>
      </c>
      <c r="H73" s="482" t="s">
        <v>25</v>
      </c>
      <c r="I73" s="428"/>
      <c r="J73" s="428" t="s">
        <v>183</v>
      </c>
      <c r="K73" s="435">
        <f>H5-K63-L67</f>
        <v>42656</v>
      </c>
      <c r="L73" s="435"/>
      <c r="M73" s="483" t="s">
        <v>413</v>
      </c>
      <c r="N73" s="484">
        <f>E92-N72</f>
        <v>23605</v>
      </c>
      <c r="O73" s="478"/>
      <c r="P73" s="479"/>
      <c r="Q73" s="480"/>
      <c r="R73" s="510"/>
      <c r="S73" s="408"/>
      <c r="T73" s="409"/>
      <c r="U73" s="410"/>
      <c r="V73" s="395"/>
      <c r="W73" s="392"/>
      <c r="X73" s="392"/>
      <c r="Y73" s="392"/>
      <c r="Z73" s="392"/>
      <c r="AA73" s="311"/>
      <c r="AB73" s="312"/>
      <c r="AC73" s="312"/>
      <c r="AD73" s="312"/>
    </row>
    <row r="74" spans="1:30" ht="20.25" x14ac:dyDescent="0.3">
      <c r="A74" s="146"/>
      <c r="B74" s="147"/>
      <c r="C74" s="101" t="str">
        <f>IF((D39=G12),"As you said (in cell D38) that you are seeking a Sallie Mae loan there is no need to complete anything below this line."," ")</f>
        <v xml:space="preserve"> </v>
      </c>
      <c r="D74" s="65"/>
      <c r="E74" s="156"/>
      <c r="F74" s="462"/>
      <c r="G74" s="460" t="s">
        <v>331</v>
      </c>
      <c r="H74" s="482"/>
      <c r="I74" s="428"/>
      <c r="J74" s="428"/>
      <c r="K74" s="435"/>
      <c r="L74" s="435"/>
      <c r="M74" s="428"/>
      <c r="N74" s="428"/>
      <c r="O74" s="478"/>
      <c r="P74" s="479"/>
      <c r="Q74" s="480"/>
      <c r="R74" s="510"/>
      <c r="S74" s="408"/>
      <c r="T74" s="409"/>
      <c r="U74" s="410"/>
      <c r="V74" s="395"/>
      <c r="W74" s="392"/>
      <c r="X74" s="392"/>
      <c r="Y74" s="392"/>
      <c r="Z74" s="392"/>
      <c r="AA74" s="311"/>
      <c r="AB74" s="312"/>
      <c r="AC74" s="312"/>
      <c r="AD74" s="312"/>
    </row>
    <row r="75" spans="1:30" ht="20.25" x14ac:dyDescent="0.3">
      <c r="A75" s="146"/>
      <c r="B75" s="147"/>
      <c r="C75" s="161" t="str">
        <f>IF((D39=G12),G74,G73)</f>
        <v>Maximum Govt. Loan you can borrow</v>
      </c>
      <c r="D75" s="65"/>
      <c r="E75" s="156"/>
      <c r="F75" s="462"/>
      <c r="G75" s="463" t="s">
        <v>57</v>
      </c>
      <c r="H75" s="435">
        <f>K63</f>
        <v>3500</v>
      </c>
      <c r="I75" s="428"/>
      <c r="J75" s="420" t="s">
        <v>56</v>
      </c>
      <c r="K75" s="465">
        <f>IF((((K70/(100-N54)*100))&lt;K73),((K70/(100-N54)*100)),(((K73+M63+M67)/(100-N54))*100))</f>
        <v>18963.711445695073</v>
      </c>
      <c r="L75" s="435"/>
      <c r="M75" s="435"/>
      <c r="N75" s="435"/>
      <c r="O75" s="478"/>
      <c r="P75" s="479"/>
      <c r="Q75" s="480"/>
      <c r="R75" s="509"/>
      <c r="S75" s="411"/>
      <c r="T75" s="409"/>
      <c r="U75" s="410"/>
      <c r="V75" s="395"/>
      <c r="W75" s="392"/>
      <c r="X75" s="392"/>
      <c r="Y75" s="392"/>
      <c r="Z75" s="392"/>
      <c r="AA75" s="311"/>
      <c r="AB75" s="312"/>
      <c r="AC75" s="312"/>
      <c r="AD75" s="312"/>
    </row>
    <row r="76" spans="1:30" ht="15" x14ac:dyDescent="0.2">
      <c r="A76" s="146"/>
      <c r="B76" s="147"/>
      <c r="C76" s="63" t="str">
        <f>IF((D27="N"),L28,G75)</f>
        <v>Subsidised - Adjusted by EFC</v>
      </c>
      <c r="D76" s="65">
        <f>H75</f>
        <v>3500</v>
      </c>
      <c r="E76" s="156"/>
      <c r="F76" s="462"/>
      <c r="G76" s="463" t="s">
        <v>35</v>
      </c>
      <c r="H76" s="435">
        <f>L67</f>
        <v>2000</v>
      </c>
      <c r="I76" s="428"/>
      <c r="J76" s="428"/>
      <c r="K76" s="428"/>
      <c r="L76" s="435"/>
      <c r="M76" s="428"/>
      <c r="N76" s="485"/>
      <c r="O76" s="478"/>
      <c r="P76" s="479"/>
      <c r="Q76" s="480"/>
      <c r="R76" s="509"/>
      <c r="S76" s="411"/>
      <c r="T76" s="409"/>
      <c r="U76" s="410"/>
      <c r="V76" s="395"/>
      <c r="W76" s="392"/>
      <c r="X76" s="392"/>
      <c r="Y76" s="392"/>
      <c r="Z76" s="392"/>
      <c r="AA76" s="311"/>
      <c r="AB76" s="312"/>
      <c r="AC76" s="312"/>
      <c r="AD76" s="312"/>
    </row>
    <row r="77" spans="1:30" ht="15" x14ac:dyDescent="0.2">
      <c r="A77" s="146"/>
      <c r="B77" s="147"/>
      <c r="C77" s="63" t="str">
        <f>G76</f>
        <v>Unsubsudised</v>
      </c>
      <c r="D77" s="65">
        <f>H76</f>
        <v>2000</v>
      </c>
      <c r="E77" s="156" t="str">
        <f>IF((N61&gt;0),"Grossed up for fees","")</f>
        <v/>
      </c>
      <c r="F77" s="462"/>
      <c r="G77" s="463" t="str">
        <f>IF((J78=2),K78,(IF((H69&gt;H5),"PLUS Loan to fulfil this CoA","")))</f>
        <v/>
      </c>
      <c r="H77" s="428"/>
      <c r="I77" s="428" t="str">
        <f>IF((K73&lt;K70),K70,"")</f>
        <v/>
      </c>
      <c r="J77" s="420" t="s">
        <v>322</v>
      </c>
      <c r="K77" s="428"/>
      <c r="L77" s="428"/>
      <c r="M77" s="428"/>
      <c r="N77" s="485"/>
      <c r="O77" s="478"/>
      <c r="P77" s="479"/>
      <c r="Q77" s="480"/>
      <c r="R77" s="508"/>
      <c r="S77" s="408"/>
      <c r="T77" s="409"/>
      <c r="U77" s="410"/>
      <c r="V77" s="395"/>
      <c r="W77" s="392"/>
      <c r="X77" s="392"/>
      <c r="Y77" s="392"/>
      <c r="Z77" s="392"/>
      <c r="AA77" s="311"/>
      <c r="AB77" s="312"/>
      <c r="AC77" s="312"/>
      <c r="AD77" s="312"/>
    </row>
    <row r="78" spans="1:30" ht="15" x14ac:dyDescent="0.2">
      <c r="A78" s="146"/>
      <c r="B78" s="147"/>
      <c r="C78" s="63" t="str">
        <f>G77</f>
        <v/>
      </c>
      <c r="D78" s="65"/>
      <c r="E78" s="156" t="str">
        <f>IF((N65&gt;0),"Grossed up for fees","")</f>
        <v/>
      </c>
      <c r="G78" s="463" t="str">
        <f>IF((J78=2),"","Maximum PLUS Loan allowed for this CoA before grossing up for fees")</f>
        <v>Maximum PLUS Loan allowed for this CoA before grossing up for fees</v>
      </c>
      <c r="H78" s="486">
        <f>IF((J78=2),"",(IF((K70&lt;K73),(K70-M67-M63),K73)))</f>
        <v>18104</v>
      </c>
      <c r="I78" s="428"/>
      <c r="J78" s="428">
        <f>(IF(AND(D28="N",D27="Y"),1,0))+(IF((D32="I"),1,0))</f>
        <v>1</v>
      </c>
      <c r="K78" s="428" t="s">
        <v>330</v>
      </c>
      <c r="L78" s="428"/>
      <c r="M78" s="428"/>
      <c r="N78" s="435"/>
      <c r="O78" s="487"/>
      <c r="P78" s="488"/>
      <c r="Q78" s="489"/>
      <c r="R78" s="511"/>
      <c r="S78" s="412"/>
      <c r="T78" s="413"/>
      <c r="U78" s="414"/>
      <c r="V78" s="396"/>
      <c r="W78" s="392"/>
      <c r="X78" s="392"/>
      <c r="Y78" s="392"/>
      <c r="Z78" s="392"/>
      <c r="AA78" s="311"/>
      <c r="AB78" s="312"/>
      <c r="AC78" s="312"/>
      <c r="AD78" s="312"/>
    </row>
    <row r="79" spans="1:30" ht="15" x14ac:dyDescent="0.2">
      <c r="A79" s="146"/>
      <c r="B79" s="147"/>
      <c r="C79" s="63" t="str">
        <f>G78</f>
        <v>Maximum PLUS Loan allowed for this CoA before grossing up for fees</v>
      </c>
      <c r="D79" s="65">
        <f>H78</f>
        <v>18104</v>
      </c>
      <c r="E79" s="158" t="str">
        <f>I77</f>
        <v/>
      </c>
      <c r="F79" s="462"/>
      <c r="G79" s="463" t="s">
        <v>337</v>
      </c>
      <c r="H79" s="486"/>
      <c r="I79" s="428"/>
      <c r="J79" s="428"/>
      <c r="K79" s="428"/>
      <c r="L79" s="428"/>
      <c r="M79" s="428"/>
      <c r="N79" s="435"/>
      <c r="O79" s="478"/>
      <c r="P79" s="479"/>
      <c r="Q79" s="490"/>
      <c r="R79" s="508"/>
      <c r="S79" s="408"/>
      <c r="T79" s="409"/>
      <c r="U79" s="410"/>
      <c r="V79" s="395"/>
      <c r="W79" s="392"/>
      <c r="X79" s="392"/>
      <c r="Y79" s="392"/>
      <c r="Z79" s="392"/>
      <c r="AA79" s="311"/>
      <c r="AB79" s="312"/>
      <c r="AC79" s="312"/>
      <c r="AD79" s="312"/>
    </row>
    <row r="80" spans="1:30" ht="16.5" thickBot="1" x14ac:dyDescent="0.3">
      <c r="A80" s="151"/>
      <c r="B80" s="152"/>
      <c r="E80" s="159"/>
      <c r="F80" s="462"/>
      <c r="G80" s="470" t="s">
        <v>175</v>
      </c>
      <c r="H80" s="491">
        <f>SUM(H75:H79)</f>
        <v>23604</v>
      </c>
      <c r="I80" s="428"/>
      <c r="J80" s="428"/>
      <c r="K80" s="428"/>
      <c r="L80" s="428"/>
      <c r="M80" s="428"/>
      <c r="N80" s="485"/>
      <c r="O80" s="428"/>
      <c r="P80" s="428"/>
      <c r="Q80" s="428"/>
      <c r="R80" s="428"/>
      <c r="S80" s="392"/>
      <c r="T80" s="392"/>
      <c r="U80" s="392"/>
      <c r="V80" s="392"/>
      <c r="W80" s="392"/>
      <c r="X80" s="392"/>
      <c r="Y80" s="392"/>
      <c r="Z80" s="392"/>
      <c r="AA80" s="311"/>
      <c r="AB80" s="312"/>
      <c r="AC80" s="312"/>
      <c r="AD80" s="312"/>
    </row>
    <row r="81" spans="1:32" ht="17.25" thickTop="1" thickBot="1" x14ac:dyDescent="0.3">
      <c r="A81" s="153"/>
      <c r="B81" s="154"/>
      <c r="C81" s="68" t="str">
        <f>G80</f>
        <v>Total Eligible before adjustment for Fees</v>
      </c>
      <c r="D81" s="69">
        <f>H80</f>
        <v>23604</v>
      </c>
      <c r="E81" s="160"/>
      <c r="F81" s="467"/>
      <c r="G81" s="492"/>
      <c r="H81" s="493"/>
      <c r="I81" s="428"/>
      <c r="J81" s="428"/>
      <c r="K81" s="428"/>
      <c r="L81" s="428"/>
      <c r="M81" s="428"/>
      <c r="N81" s="485"/>
      <c r="O81" s="428"/>
      <c r="P81" s="428"/>
      <c r="Q81" s="428"/>
      <c r="R81" s="428"/>
      <c r="S81" s="392"/>
      <c r="T81" s="392"/>
      <c r="U81" s="392"/>
      <c r="V81" s="392"/>
      <c r="X81" s="392"/>
      <c r="Y81" s="392"/>
      <c r="Z81" s="392"/>
      <c r="AA81" s="311"/>
      <c r="AB81" s="312"/>
      <c r="AC81" s="312"/>
      <c r="AD81" s="312"/>
    </row>
    <row r="82" spans="1:32" s="99" customFormat="1" ht="18.75" thickBot="1" x14ac:dyDescent="0.3">
      <c r="A82" s="12"/>
      <c r="B82" s="12"/>
      <c r="C82"/>
      <c r="D82" s="30"/>
      <c r="E82" s="30"/>
      <c r="F82" s="467"/>
      <c r="G82" s="494"/>
      <c r="H82" s="428"/>
      <c r="I82" s="428"/>
      <c r="J82" s="492"/>
      <c r="K82" s="492"/>
      <c r="L82" s="492"/>
      <c r="M82" s="492"/>
      <c r="N82" s="492"/>
      <c r="O82" s="492"/>
      <c r="P82" s="492"/>
      <c r="Q82" s="492"/>
      <c r="R82" s="428"/>
      <c r="S82" s="392"/>
      <c r="T82" s="392"/>
      <c r="U82" s="392"/>
      <c r="V82" s="392"/>
      <c r="W82" s="392"/>
      <c r="X82" s="392"/>
      <c r="Y82" s="392"/>
      <c r="Z82" s="392"/>
      <c r="AA82" s="311"/>
      <c r="AB82" s="312"/>
      <c r="AC82" s="312"/>
      <c r="AD82" s="312"/>
      <c r="AE82"/>
      <c r="AF82"/>
    </row>
    <row r="83" spans="1:32" s="100" customFormat="1" ht="18" x14ac:dyDescent="0.25">
      <c r="A83" s="125">
        <v>5</v>
      </c>
      <c r="B83" s="141"/>
      <c r="C83" s="166" t="s">
        <v>169</v>
      </c>
      <c r="D83" s="167"/>
      <c r="E83" s="168"/>
      <c r="F83" s="467"/>
      <c r="G83" s="494"/>
      <c r="H83" s="492" t="s">
        <v>60</v>
      </c>
      <c r="I83" s="495" t="s">
        <v>74</v>
      </c>
      <c r="J83" s="494"/>
      <c r="K83" s="494"/>
      <c r="L83" s="494"/>
      <c r="M83" s="494"/>
      <c r="N83" s="494"/>
      <c r="O83" s="494"/>
      <c r="P83" s="494"/>
      <c r="Q83" s="494"/>
      <c r="R83" s="492"/>
      <c r="S83" s="397"/>
      <c r="T83" s="397"/>
      <c r="U83" s="397"/>
      <c r="V83" s="397"/>
      <c r="W83" s="397"/>
      <c r="X83" s="397"/>
      <c r="Y83" s="397"/>
      <c r="Z83" s="397"/>
      <c r="AA83" s="315"/>
      <c r="AB83" s="317"/>
      <c r="AC83" s="317"/>
      <c r="AD83" s="317"/>
      <c r="AE83" s="99"/>
      <c r="AF83" s="99"/>
    </row>
    <row r="84" spans="1:32" s="100" customFormat="1" ht="18" x14ac:dyDescent="0.25">
      <c r="A84" s="169"/>
      <c r="B84" s="170"/>
      <c r="C84" s="28" t="str">
        <f>IF(H67&gt;H5, I83,"  ")</f>
        <v xml:space="preserve">  </v>
      </c>
      <c r="D84" s="31"/>
      <c r="E84" s="173"/>
      <c r="F84" s="462"/>
      <c r="G84" s="494"/>
      <c r="H84" s="492" t="s">
        <v>61</v>
      </c>
      <c r="I84" s="495" t="s">
        <v>96</v>
      </c>
      <c r="J84" s="494"/>
      <c r="K84" s="494"/>
      <c r="L84" s="494"/>
      <c r="M84" s="494"/>
      <c r="N84" s="494"/>
      <c r="O84" s="494"/>
      <c r="P84" s="494"/>
      <c r="Q84" s="494"/>
      <c r="R84" s="507"/>
      <c r="S84" s="398"/>
      <c r="T84" s="398"/>
      <c r="U84" s="398"/>
      <c r="V84" s="398"/>
      <c r="W84" s="391"/>
      <c r="X84" s="398"/>
      <c r="Y84" s="398"/>
      <c r="Z84" s="398"/>
      <c r="AA84" s="316"/>
      <c r="AB84" s="318"/>
      <c r="AC84" s="318"/>
      <c r="AD84" s="318"/>
    </row>
    <row r="85" spans="1:32" s="100" customFormat="1" ht="18.75" thickBot="1" x14ac:dyDescent="0.3">
      <c r="A85" s="171"/>
      <c r="B85" s="172"/>
      <c r="C85" s="29" t="str">
        <f>IF(H67&gt;H5, I84,I85)</f>
        <v>You are allowed to borrow up to the values above</v>
      </c>
      <c r="D85" s="32"/>
      <c r="E85" s="174"/>
      <c r="F85" s="467"/>
      <c r="G85" s="428"/>
      <c r="H85" s="492" t="s">
        <v>59</v>
      </c>
      <c r="I85" s="495" t="s">
        <v>78</v>
      </c>
      <c r="J85" s="494"/>
      <c r="K85" s="494"/>
      <c r="L85" s="494"/>
      <c r="M85" s="494"/>
      <c r="N85" s="494"/>
      <c r="O85" s="494"/>
      <c r="P85" s="494"/>
      <c r="Q85" s="494"/>
      <c r="R85" s="507"/>
      <c r="S85" s="398"/>
      <c r="T85" s="398"/>
      <c r="U85" s="398"/>
      <c r="V85" s="398"/>
      <c r="W85" s="391"/>
      <c r="X85" s="398"/>
      <c r="Y85" s="398"/>
      <c r="Z85" s="398"/>
      <c r="AA85" s="316"/>
      <c r="AB85" s="318"/>
      <c r="AC85" s="318"/>
      <c r="AD85" s="318"/>
    </row>
    <row r="86" spans="1:32" ht="52.5" customHeight="1" thickBot="1" x14ac:dyDescent="0.3">
      <c r="D86" s="30"/>
      <c r="E86" s="30"/>
      <c r="F86" s="496"/>
      <c r="G86" s="428"/>
      <c r="H86" s="494"/>
      <c r="I86" s="494"/>
      <c r="J86" s="428"/>
      <c r="K86" s="428"/>
      <c r="L86" s="428"/>
      <c r="M86" s="428"/>
      <c r="N86" s="428"/>
      <c r="O86" s="428"/>
      <c r="P86" s="428"/>
      <c r="Q86" s="428"/>
      <c r="S86" s="398"/>
      <c r="T86" s="398"/>
      <c r="U86" s="398"/>
      <c r="V86" s="398"/>
      <c r="W86" s="391"/>
      <c r="X86" s="398"/>
      <c r="Y86" s="398"/>
      <c r="Z86" s="398"/>
      <c r="AA86" s="316"/>
      <c r="AB86" s="318"/>
      <c r="AC86" s="318"/>
      <c r="AD86" s="318"/>
      <c r="AE86" s="100"/>
      <c r="AF86" s="100"/>
    </row>
    <row r="87" spans="1:32" ht="18.75" thickBot="1" x14ac:dyDescent="0.3">
      <c r="A87" s="112">
        <v>6</v>
      </c>
      <c r="B87" s="112"/>
      <c r="C87" s="244" t="str">
        <f>IF((D39=G12),"THIS SECTION DOES NOT APPLY TO SALLIE MAE LOANS","YOU TELL US HOW MUCH WOULD YOU LIKE TO BORROW - YOU MAY REDUCE THE FIGURES IN BLUE")</f>
        <v>YOU TELL US HOW MUCH WOULD YOU LIKE TO BORROW - YOU MAY REDUCE THE FIGURES IN BLUE</v>
      </c>
      <c r="D87" s="245"/>
      <c r="E87" s="246"/>
      <c r="F87" s="497" t="str">
        <f>IF((D89&gt;A89),("You cannot borrow more than  "&amp;A89),"")</f>
        <v/>
      </c>
      <c r="G87" s="498" t="s">
        <v>141</v>
      </c>
      <c r="H87" s="499" t="s">
        <v>97</v>
      </c>
      <c r="I87" s="428"/>
      <c r="J87" s="428"/>
      <c r="K87" s="428"/>
      <c r="L87" s="494"/>
      <c r="M87" s="494"/>
      <c r="N87" s="494"/>
      <c r="O87" s="428"/>
      <c r="P87" s="428"/>
      <c r="Q87" s="428"/>
      <c r="S87" s="392"/>
      <c r="T87" s="392"/>
      <c r="U87" s="392"/>
      <c r="V87" s="392"/>
      <c r="W87" s="391"/>
      <c r="X87" s="392"/>
      <c r="Y87" s="392"/>
      <c r="Z87" s="392"/>
      <c r="AA87" s="311"/>
      <c r="AB87" s="312"/>
      <c r="AC87" s="312"/>
      <c r="AD87" s="312"/>
    </row>
    <row r="88" spans="1:32" ht="54" x14ac:dyDescent="0.2">
      <c r="A88" s="247" t="s">
        <v>141</v>
      </c>
      <c r="B88" s="248" t="s">
        <v>167</v>
      </c>
      <c r="C88" s="249" t="s">
        <v>193</v>
      </c>
      <c r="D88" s="250" t="s">
        <v>325</v>
      </c>
      <c r="E88" s="251" t="s">
        <v>97</v>
      </c>
      <c r="F88" s="497" t="str">
        <f>IF((D90&gt;A90),("You cannot borrow more than  "&amp;A90),"")</f>
        <v/>
      </c>
      <c r="G88" s="500">
        <f>ROUND(K63,0)</f>
        <v>3500</v>
      </c>
      <c r="H88" s="501">
        <f>ROUND(((G88*(1-O52))),0)</f>
        <v>3463</v>
      </c>
      <c r="I88" s="428"/>
      <c r="J88" s="428"/>
      <c r="K88" s="428"/>
      <c r="L88" s="428"/>
      <c r="M88" s="428"/>
      <c r="N88" s="428"/>
      <c r="O88" s="428"/>
      <c r="P88" s="428"/>
      <c r="Q88" s="428"/>
      <c r="S88" s="392"/>
      <c r="T88" s="392"/>
      <c r="U88" s="392"/>
      <c r="V88" s="392"/>
      <c r="W88" s="391"/>
      <c r="X88" s="392"/>
      <c r="Y88" s="392"/>
      <c r="Z88" s="392"/>
      <c r="AA88" s="311"/>
      <c r="AB88" s="312"/>
      <c r="AC88" s="312"/>
      <c r="AD88" s="312"/>
    </row>
    <row r="89" spans="1:32" ht="15.75" x14ac:dyDescent="0.25">
      <c r="A89" s="252">
        <f>IF((D39=G12),0,G88)</f>
        <v>3500</v>
      </c>
      <c r="B89" s="253">
        <f>O52</f>
        <v>1.059E-2</v>
      </c>
      <c r="C89" s="254" t="str">
        <f>C76</f>
        <v>Subsidised - Adjusted by EFC</v>
      </c>
      <c r="D89" s="175">
        <f>A89</f>
        <v>3500</v>
      </c>
      <c r="E89" s="255">
        <f>ROUND(((D89*(1-O52))),0)</f>
        <v>3463</v>
      </c>
      <c r="F89" s="502" t="str">
        <f>IF((D91&gt;A91),("You cannot borrow more than  "&amp;ROUND(A91,2)),"")</f>
        <v/>
      </c>
      <c r="G89" s="500">
        <f>ROUND(L67,0)</f>
        <v>2000</v>
      </c>
      <c r="H89" s="501">
        <f>ROUND(((G89*(1-O53))),0)</f>
        <v>1979</v>
      </c>
      <c r="I89" s="428"/>
      <c r="J89" s="428"/>
      <c r="K89" s="428"/>
      <c r="L89" s="428"/>
      <c r="M89" s="428"/>
      <c r="N89" s="428"/>
      <c r="O89" s="428"/>
      <c r="P89" s="428"/>
      <c r="Q89" s="428"/>
      <c r="S89" s="392"/>
      <c r="T89" s="392"/>
      <c r="U89" s="392"/>
      <c r="V89" s="392"/>
      <c r="W89" s="391"/>
      <c r="X89" s="392"/>
      <c r="Y89" s="392"/>
      <c r="Z89" s="392"/>
      <c r="AA89" s="311"/>
      <c r="AB89" s="312"/>
      <c r="AC89" s="312"/>
      <c r="AD89" s="312"/>
    </row>
    <row r="90" spans="1:32" ht="15.75" x14ac:dyDescent="0.25">
      <c r="A90" s="252">
        <f>IF((D39=G12),0,G89)</f>
        <v>2000</v>
      </c>
      <c r="B90" s="253">
        <f>O53</f>
        <v>1.0620000000000001E-2</v>
      </c>
      <c r="C90" s="254" t="s">
        <v>388</v>
      </c>
      <c r="D90" s="175">
        <f>A90</f>
        <v>2000</v>
      </c>
      <c r="E90" s="255">
        <f>ROUND(((D90*(1-O53))),0)</f>
        <v>1979</v>
      </c>
      <c r="F90" s="503" t="str">
        <f>IF((E92&lt;&gt;D81),"Includes $"&amp;(E92-D81)&amp;" rounding differences","")</f>
        <v>Includes $1 rounding differences</v>
      </c>
      <c r="G90" s="500">
        <f>IF((J78=2),0,(ROUND(K75,0)))</f>
        <v>18964</v>
      </c>
      <c r="H90" s="501">
        <f>ROUND(((G90*(1-O54))),0)</f>
        <v>18163</v>
      </c>
      <c r="I90" s="428"/>
      <c r="J90" s="428"/>
      <c r="K90" s="428"/>
      <c r="L90" s="428"/>
      <c r="M90" s="428"/>
      <c r="N90" s="428"/>
      <c r="O90" s="428"/>
      <c r="P90" s="428"/>
      <c r="Q90" s="428"/>
      <c r="S90" s="392"/>
      <c r="T90" s="392"/>
      <c r="U90" s="392"/>
      <c r="V90" s="392"/>
      <c r="W90" s="391"/>
      <c r="X90" s="392"/>
      <c r="Y90" s="392"/>
      <c r="Z90" s="392"/>
      <c r="AA90" s="311"/>
      <c r="AB90" s="312"/>
      <c r="AC90" s="312"/>
      <c r="AD90" s="312"/>
    </row>
    <row r="91" spans="1:32" ht="16.5" thickBot="1" x14ac:dyDescent="0.3">
      <c r="A91" s="252">
        <f>IF((D39=G12),0,G90)</f>
        <v>18964</v>
      </c>
      <c r="B91" s="253">
        <f>O54</f>
        <v>4.2259999999999999E-2</v>
      </c>
      <c r="C91" s="254" t="str">
        <f>IF((J78=2),K78,"PLUS Loan (Adjusted up to include all fees)")</f>
        <v>PLUS Loan (Adjusted up to include all fees)</v>
      </c>
      <c r="D91" s="175">
        <f>A91</f>
        <v>18964</v>
      </c>
      <c r="E91" s="255">
        <f>ROUND(((D91*(1-O54))),0)</f>
        <v>18163</v>
      </c>
      <c r="G91" s="504">
        <f>SUM(G88:G90)</f>
        <v>24464</v>
      </c>
      <c r="H91" s="505">
        <f>SUM(H88:H90)</f>
        <v>23605</v>
      </c>
      <c r="I91" s="428"/>
      <c r="J91" s="428"/>
      <c r="K91" s="428"/>
      <c r="L91" s="428"/>
      <c r="M91" s="428"/>
      <c r="N91" s="428"/>
      <c r="O91" s="428"/>
      <c r="P91" s="485"/>
      <c r="Q91" s="485"/>
      <c r="S91" s="392"/>
      <c r="T91" s="392"/>
      <c r="U91" s="392"/>
      <c r="V91" s="392"/>
      <c r="W91" s="391"/>
      <c r="X91" s="392"/>
      <c r="Y91" s="392"/>
      <c r="Z91" s="392"/>
      <c r="AA91" s="311"/>
      <c r="AB91" s="312"/>
      <c r="AC91" s="312"/>
      <c r="AD91" s="312"/>
    </row>
    <row r="92" spans="1:32" ht="17.25" thickTop="1" thickBot="1" x14ac:dyDescent="0.3">
      <c r="A92" s="252">
        <f>IF((D39=G12),0,G91)</f>
        <v>24464</v>
      </c>
      <c r="B92" s="256"/>
      <c r="C92" s="302" t="s">
        <v>165</v>
      </c>
      <c r="D92" s="257">
        <f>SUM(D89:D91)</f>
        <v>24464</v>
      </c>
      <c r="E92" s="258">
        <f>SUM(E89:E91)</f>
        <v>23605</v>
      </c>
      <c r="G92" s="428"/>
      <c r="H92" s="492" t="s">
        <v>79</v>
      </c>
      <c r="I92" s="506" t="s">
        <v>81</v>
      </c>
      <c r="J92" s="428"/>
      <c r="K92" s="428"/>
      <c r="L92" s="428"/>
      <c r="M92" s="428"/>
      <c r="N92" s="428"/>
      <c r="O92" s="428"/>
      <c r="P92" s="428"/>
      <c r="Q92" s="435"/>
      <c r="S92" s="392"/>
      <c r="T92" s="392"/>
      <c r="U92" s="392"/>
      <c r="V92" s="392"/>
      <c r="W92" s="391"/>
      <c r="X92" s="392"/>
      <c r="Y92" s="392"/>
      <c r="Z92" s="392"/>
      <c r="AA92" s="311"/>
      <c r="AB92" s="312"/>
      <c r="AC92" s="312"/>
      <c r="AD92" s="312"/>
    </row>
    <row r="93" spans="1:32" ht="18.75" thickTop="1" x14ac:dyDescent="0.25">
      <c r="A93" s="259" t="s">
        <v>160</v>
      </c>
      <c r="B93" s="260"/>
      <c r="C93" s="261" t="str">
        <f>IF((D92&lt;(H5*1.04)),I92,I94)</f>
        <v>We will check everything you have provided with the USDE data and regulations</v>
      </c>
      <c r="E93" s="262"/>
      <c r="G93" s="428"/>
      <c r="H93" s="492" t="s">
        <v>80</v>
      </c>
      <c r="I93" s="429" t="s">
        <v>454</v>
      </c>
      <c r="J93" s="428"/>
      <c r="K93" s="428"/>
      <c r="L93" s="428"/>
      <c r="M93" s="428"/>
      <c r="N93" s="428"/>
      <c r="O93" s="428"/>
      <c r="P93" s="428"/>
      <c r="Q93" s="428"/>
      <c r="R93" s="428"/>
      <c r="S93" s="392"/>
      <c r="T93" s="392"/>
      <c r="U93" s="392"/>
      <c r="V93" s="392"/>
      <c r="W93" s="392"/>
      <c r="X93" s="392"/>
      <c r="Y93" s="392"/>
      <c r="Z93" s="392"/>
      <c r="AA93" s="311"/>
      <c r="AB93" s="312"/>
      <c r="AC93" s="312"/>
      <c r="AD93" s="312"/>
    </row>
    <row r="94" spans="1:32" ht="18.75" thickBot="1" x14ac:dyDescent="0.3">
      <c r="A94" s="263"/>
      <c r="B94" s="264"/>
      <c r="C94" s="265" t="str">
        <f>IF((D92&lt;(H5*1.04)),I93,I95)</f>
        <v xml:space="preserve">If everything is correct we will originate your loans and issue a certificate. </v>
      </c>
      <c r="D94" s="266"/>
      <c r="E94" s="267"/>
      <c r="G94" s="428"/>
      <c r="H94" s="492" t="s">
        <v>60</v>
      </c>
      <c r="I94" s="495" t="s">
        <v>82</v>
      </c>
      <c r="J94" s="428"/>
      <c r="K94" s="428"/>
      <c r="L94" s="428"/>
      <c r="M94" s="428"/>
      <c r="N94" s="428"/>
      <c r="O94" s="428"/>
      <c r="P94" s="428"/>
      <c r="Q94" s="428"/>
      <c r="R94" s="428"/>
      <c r="S94" s="392"/>
      <c r="T94" s="392"/>
      <c r="U94" s="392"/>
      <c r="V94" s="392"/>
      <c r="W94" s="392"/>
      <c r="X94" s="392"/>
      <c r="Y94" s="392"/>
      <c r="Z94" s="392"/>
      <c r="AA94" s="311"/>
      <c r="AB94" s="311"/>
      <c r="AC94" s="312"/>
      <c r="AD94" s="312"/>
    </row>
    <row r="95" spans="1:32" ht="16.5" thickBot="1" x14ac:dyDescent="0.3">
      <c r="G95" s="428"/>
      <c r="H95" s="492" t="s">
        <v>61</v>
      </c>
      <c r="I95" s="428"/>
      <c r="J95" s="428"/>
      <c r="K95" s="428"/>
      <c r="L95" s="428"/>
      <c r="M95" s="428"/>
      <c r="N95" s="428"/>
      <c r="O95" s="428"/>
      <c r="P95" s="428"/>
      <c r="Q95" s="428"/>
      <c r="R95" s="428"/>
      <c r="S95" s="392"/>
      <c r="T95" s="392"/>
      <c r="U95" s="392"/>
      <c r="V95" s="392"/>
      <c r="W95" s="392"/>
      <c r="X95" s="392"/>
      <c r="Y95" s="392"/>
      <c r="Z95" s="392"/>
      <c r="AA95" s="311"/>
      <c r="AB95" s="311"/>
      <c r="AC95" s="312"/>
      <c r="AD95" s="312"/>
    </row>
    <row r="96" spans="1:32" ht="16.5" thickBot="1" x14ac:dyDescent="0.3">
      <c r="A96" s="268" t="s">
        <v>168</v>
      </c>
      <c r="B96" s="269">
        <f>B89</f>
        <v>1.059E-2</v>
      </c>
      <c r="C96" s="270" t="str">
        <f>C89&amp;" Origination Fee of "&amp;L52&amp;"% less Interest Rebate of "&amp;M52&amp;"%"</f>
        <v>Subsidised - Adjusted by EFC Origination Fee of 1.059% less Interest Rebate of 0%</v>
      </c>
      <c r="D96" s="271"/>
      <c r="E96" s="272"/>
      <c r="G96" s="428"/>
      <c r="H96" s="428"/>
      <c r="I96" s="428"/>
      <c r="J96" s="428"/>
      <c r="K96" s="428"/>
      <c r="L96" s="428"/>
      <c r="M96" s="428"/>
      <c r="N96" s="428"/>
      <c r="O96" s="428"/>
      <c r="P96" s="428"/>
      <c r="Q96" s="428"/>
      <c r="R96" s="428"/>
      <c r="S96" s="392"/>
      <c r="T96" s="392"/>
      <c r="U96" s="392"/>
      <c r="V96" s="392"/>
      <c r="W96" s="392"/>
      <c r="X96" s="392"/>
      <c r="Y96" s="392"/>
      <c r="Z96" s="392"/>
      <c r="AA96" s="311"/>
      <c r="AB96" s="311"/>
      <c r="AC96" s="312"/>
      <c r="AD96" s="312"/>
    </row>
    <row r="97" spans="1:30" x14ac:dyDescent="0.2">
      <c r="A97" s="273"/>
      <c r="B97" s="274">
        <f>B90</f>
        <v>1.0620000000000001E-2</v>
      </c>
      <c r="C97" s="275" t="str">
        <f>C90&amp;" Origination Fee of "&amp;L53&amp;"% less Interest Rebate of "&amp;M53&amp;"%"</f>
        <v>Unsubsidised Origination Fee of 1.062% less Interest Rebate of 0%</v>
      </c>
      <c r="E97" s="159"/>
      <c r="G97" s="428" t="s">
        <v>402</v>
      </c>
      <c r="H97" s="428"/>
      <c r="I97" s="428"/>
      <c r="J97" s="428"/>
      <c r="K97" s="428"/>
      <c r="L97" s="428"/>
      <c r="M97" s="428"/>
      <c r="N97" s="428"/>
      <c r="O97" s="428"/>
      <c r="P97" s="428"/>
      <c r="Q97" s="428"/>
      <c r="R97" s="428"/>
      <c r="S97" s="392"/>
      <c r="T97" s="392"/>
      <c r="U97" s="392"/>
      <c r="V97" s="392"/>
      <c r="W97" s="392"/>
      <c r="X97" s="392"/>
      <c r="Y97" s="392"/>
      <c r="Z97" s="392"/>
      <c r="AA97" s="311"/>
      <c r="AB97" s="311"/>
      <c r="AC97" s="312"/>
      <c r="AD97" s="312"/>
    </row>
    <row r="98" spans="1:30" x14ac:dyDescent="0.2">
      <c r="A98" s="273"/>
      <c r="B98" s="274">
        <f>B91</f>
        <v>4.2259999999999999E-2</v>
      </c>
      <c r="C98" s="275" t="str">
        <f>C91&amp;" Origination Fee of "&amp;L54&amp;"% less Interest Rebate of "&amp;M54&amp;"%"</f>
        <v>PLUS Loan (Adjusted up to include all fees) Origination Fee of 4.226% less Interest Rebate of 0%</v>
      </c>
      <c r="E98" s="159"/>
      <c r="G98" s="428" t="s">
        <v>403</v>
      </c>
      <c r="H98" s="428" t="s">
        <v>404</v>
      </c>
      <c r="I98" s="428"/>
      <c r="J98" s="428"/>
      <c r="K98" s="428"/>
      <c r="L98" s="428"/>
      <c r="M98" s="428"/>
      <c r="N98" s="428"/>
      <c r="O98" s="428"/>
      <c r="P98" s="428"/>
      <c r="Q98" s="428"/>
      <c r="R98" s="428"/>
      <c r="S98" s="392"/>
      <c r="T98" s="392"/>
      <c r="U98" s="392"/>
      <c r="V98" s="392"/>
      <c r="W98" s="392"/>
      <c r="X98" s="392"/>
      <c r="Y98" s="392"/>
      <c r="Z98" s="392"/>
      <c r="AA98" s="311"/>
      <c r="AB98" s="311"/>
      <c r="AC98" s="312"/>
      <c r="AD98" s="312"/>
    </row>
    <row r="99" spans="1:30" ht="15.75" x14ac:dyDescent="0.25">
      <c r="A99" s="151"/>
      <c r="B99" s="276"/>
      <c r="C99" s="51"/>
      <c r="D99" s="516" t="s">
        <v>455</v>
      </c>
      <c r="E99" s="159"/>
      <c r="G99" s="476">
        <f>SUM(D43:D47)</f>
        <v>390</v>
      </c>
      <c r="H99" s="476">
        <f>SUM(E43:E47)</f>
        <v>390</v>
      </c>
      <c r="I99" s="428"/>
      <c r="J99" s="428"/>
      <c r="K99" s="428"/>
      <c r="L99" s="428"/>
      <c r="M99" s="428"/>
      <c r="N99" s="428"/>
      <c r="O99" s="428"/>
      <c r="P99" s="428"/>
      <c r="Q99" s="428"/>
      <c r="R99" s="428"/>
      <c r="S99" s="392"/>
      <c r="T99" s="392"/>
      <c r="U99" s="392"/>
      <c r="V99" s="392"/>
      <c r="W99" s="392"/>
      <c r="X99" s="392"/>
      <c r="Y99" s="392"/>
      <c r="Z99" s="392"/>
      <c r="AA99" s="311"/>
      <c r="AB99" s="311"/>
      <c r="AC99" s="312"/>
      <c r="AD99" s="312"/>
    </row>
    <row r="100" spans="1:30" ht="13.5" thickBot="1" x14ac:dyDescent="0.25">
      <c r="A100" s="277"/>
      <c r="B100" s="278"/>
      <c r="C100" s="279" t="s">
        <v>326</v>
      </c>
      <c r="D100" s="517"/>
      <c r="E100" s="280"/>
      <c r="G100" s="428"/>
      <c r="H100" s="428"/>
      <c r="I100" s="428"/>
      <c r="J100" s="428"/>
      <c r="K100" s="428"/>
      <c r="L100" s="428"/>
      <c r="M100" s="428"/>
      <c r="N100" s="428"/>
      <c r="O100" s="428"/>
      <c r="P100" s="428"/>
      <c r="Q100" s="428"/>
      <c r="R100" s="428"/>
      <c r="S100" s="392"/>
      <c r="T100" s="392"/>
      <c r="U100" s="392"/>
      <c r="V100" s="392"/>
      <c r="W100" s="392"/>
      <c r="X100" s="392"/>
      <c r="Y100" s="392"/>
      <c r="Z100" s="392"/>
      <c r="AA100" s="311"/>
      <c r="AB100" s="311"/>
      <c r="AC100" s="312"/>
      <c r="AD100" s="312"/>
    </row>
    <row r="101" spans="1:30" x14ac:dyDescent="0.2">
      <c r="AB101" s="230"/>
    </row>
    <row r="102" spans="1:30" x14ac:dyDescent="0.2">
      <c r="A102" s="64"/>
      <c r="AB102" s="230"/>
    </row>
    <row r="103" spans="1:30" x14ac:dyDescent="0.2">
      <c r="A103" s="64"/>
      <c r="AB103" s="230"/>
    </row>
    <row r="104" spans="1:30" x14ac:dyDescent="0.2">
      <c r="AB104" s="230"/>
    </row>
    <row r="105" spans="1:30" x14ac:dyDescent="0.2">
      <c r="AB105" s="230"/>
    </row>
    <row r="106" spans="1:30" x14ac:dyDescent="0.2">
      <c r="AB106" s="230"/>
    </row>
    <row r="107" spans="1:30" x14ac:dyDescent="0.2">
      <c r="AB107" s="230"/>
    </row>
    <row r="108" spans="1:30" x14ac:dyDescent="0.2">
      <c r="AB108" s="230"/>
    </row>
    <row r="109" spans="1:30" x14ac:dyDescent="0.2">
      <c r="AB109" s="230"/>
    </row>
    <row r="110" spans="1:30" x14ac:dyDescent="0.2">
      <c r="AB110" s="230"/>
    </row>
    <row r="111" spans="1:30" x14ac:dyDescent="0.2">
      <c r="AB111" s="230"/>
    </row>
    <row r="112" spans="1:30" x14ac:dyDescent="0.2">
      <c r="AB112" s="230"/>
    </row>
    <row r="113" spans="28:28" x14ac:dyDescent="0.2">
      <c r="AB113" s="230"/>
    </row>
    <row r="114" spans="28:28" x14ac:dyDescent="0.2">
      <c r="AB114" s="230"/>
    </row>
    <row r="115" spans="28:28" x14ac:dyDescent="0.2">
      <c r="AB115" s="230"/>
    </row>
    <row r="116" spans="28:28" x14ac:dyDescent="0.2">
      <c r="AB116" s="230"/>
    </row>
    <row r="117" spans="28:28" x14ac:dyDescent="0.2">
      <c r="AB117" s="230"/>
    </row>
    <row r="118" spans="28:28" x14ac:dyDescent="0.2">
      <c r="AB118" s="230"/>
    </row>
    <row r="119" spans="28:28" x14ac:dyDescent="0.2">
      <c r="AB119" s="230"/>
    </row>
    <row r="120" spans="28:28" x14ac:dyDescent="0.2">
      <c r="AB120" s="230"/>
    </row>
    <row r="121" spans="28:28" x14ac:dyDescent="0.2">
      <c r="AB121" s="230"/>
    </row>
    <row r="122" spans="28:28" x14ac:dyDescent="0.2">
      <c r="AB122" s="230"/>
    </row>
    <row r="123" spans="28:28" x14ac:dyDescent="0.2">
      <c r="AB123" s="230"/>
    </row>
    <row r="124" spans="28:28" x14ac:dyDescent="0.2">
      <c r="AB124" s="230"/>
    </row>
    <row r="125" spans="28:28" x14ac:dyDescent="0.2">
      <c r="AB125" s="230"/>
    </row>
    <row r="126" spans="28:28" x14ac:dyDescent="0.2">
      <c r="AB126" s="230"/>
    </row>
    <row r="127" spans="28:28" x14ac:dyDescent="0.2">
      <c r="AB127" s="230"/>
    </row>
    <row r="128" spans="28:28" x14ac:dyDescent="0.2">
      <c r="AB128" s="230"/>
    </row>
    <row r="129" spans="28:28" x14ac:dyDescent="0.2">
      <c r="AB129" s="230"/>
    </row>
    <row r="130" spans="28:28" x14ac:dyDescent="0.2">
      <c r="AB130" s="230"/>
    </row>
    <row r="131" spans="28:28" x14ac:dyDescent="0.2">
      <c r="AB131" s="230"/>
    </row>
    <row r="132" spans="28:28" x14ac:dyDescent="0.2">
      <c r="AB132" s="230"/>
    </row>
    <row r="133" spans="28:28" x14ac:dyDescent="0.2">
      <c r="AB133" s="230"/>
    </row>
    <row r="134" spans="28:28" x14ac:dyDescent="0.2">
      <c r="AB134" s="230"/>
    </row>
    <row r="135" spans="28:28" x14ac:dyDescent="0.2">
      <c r="AB135" s="230"/>
    </row>
    <row r="136" spans="28:28" x14ac:dyDescent="0.2">
      <c r="AB136" s="230"/>
    </row>
    <row r="137" spans="28:28" x14ac:dyDescent="0.2">
      <c r="AB137" s="230"/>
    </row>
    <row r="138" spans="28:28" x14ac:dyDescent="0.2">
      <c r="AB138" s="230"/>
    </row>
    <row r="139" spans="28:28" x14ac:dyDescent="0.2">
      <c r="AB139" s="230"/>
    </row>
    <row r="140" spans="28:28" x14ac:dyDescent="0.2">
      <c r="AB140" s="230"/>
    </row>
    <row r="141" spans="28:28" x14ac:dyDescent="0.2">
      <c r="AB141" s="230"/>
    </row>
    <row r="142" spans="28:28" x14ac:dyDescent="0.2">
      <c r="AB142" s="230"/>
    </row>
    <row r="143" spans="28:28" x14ac:dyDescent="0.2">
      <c r="AB143" s="230"/>
    </row>
    <row r="144" spans="28:28" x14ac:dyDescent="0.2">
      <c r="AB144" s="230"/>
    </row>
    <row r="145" spans="28:28" x14ac:dyDescent="0.2">
      <c r="AB145" s="230"/>
    </row>
    <row r="146" spans="28:28" x14ac:dyDescent="0.2">
      <c r="AB146" s="230"/>
    </row>
    <row r="147" spans="28:28" x14ac:dyDescent="0.2">
      <c r="AB147" s="230"/>
    </row>
    <row r="148" spans="28:28" x14ac:dyDescent="0.2">
      <c r="AB148" s="230"/>
    </row>
    <row r="149" spans="28:28" x14ac:dyDescent="0.2">
      <c r="AB149" s="230"/>
    </row>
    <row r="150" spans="28:28" x14ac:dyDescent="0.2">
      <c r="AB150" s="230"/>
    </row>
    <row r="151" spans="28:28" x14ac:dyDescent="0.2">
      <c r="AB151" s="230"/>
    </row>
    <row r="152" spans="28:28" x14ac:dyDescent="0.2">
      <c r="AB152" s="230"/>
    </row>
    <row r="153" spans="28:28" x14ac:dyDescent="0.2">
      <c r="AB153" s="230"/>
    </row>
    <row r="154" spans="28:28" x14ac:dyDescent="0.2">
      <c r="AB154" s="230"/>
    </row>
    <row r="155" spans="28:28" x14ac:dyDescent="0.2">
      <c r="AB155" s="230"/>
    </row>
    <row r="156" spans="28:28" x14ac:dyDescent="0.2">
      <c r="AB156" s="230"/>
    </row>
    <row r="157" spans="28:28" x14ac:dyDescent="0.2">
      <c r="AB157" s="230"/>
    </row>
    <row r="158" spans="28:28" x14ac:dyDescent="0.2">
      <c r="AB158" s="230"/>
    </row>
    <row r="159" spans="28:28" x14ac:dyDescent="0.2">
      <c r="AB159" s="230"/>
    </row>
    <row r="160" spans="28:28" x14ac:dyDescent="0.2">
      <c r="AB160" s="230"/>
    </row>
    <row r="161" spans="28:28" x14ac:dyDescent="0.2">
      <c r="AB161" s="230"/>
    </row>
    <row r="162" spans="28:28" x14ac:dyDescent="0.2">
      <c r="AB162" s="230"/>
    </row>
    <row r="163" spans="28:28" x14ac:dyDescent="0.2">
      <c r="AB163" s="230"/>
    </row>
    <row r="164" spans="28:28" x14ac:dyDescent="0.2">
      <c r="AB164" s="230"/>
    </row>
    <row r="165" spans="28:28" x14ac:dyDescent="0.2">
      <c r="AB165" s="230"/>
    </row>
    <row r="166" spans="28:28" x14ac:dyDescent="0.2">
      <c r="AB166" s="230"/>
    </row>
    <row r="167" spans="28:28" x14ac:dyDescent="0.2">
      <c r="AB167" s="230"/>
    </row>
    <row r="168" spans="28:28" x14ac:dyDescent="0.2">
      <c r="AB168" s="230"/>
    </row>
    <row r="169" spans="28:28" x14ac:dyDescent="0.2">
      <c r="AB169" s="230"/>
    </row>
    <row r="170" spans="28:28" x14ac:dyDescent="0.2">
      <c r="AB170" s="230"/>
    </row>
    <row r="171" spans="28:28" x14ac:dyDescent="0.2">
      <c r="AB171" s="230"/>
    </row>
    <row r="172" spans="28:28" x14ac:dyDescent="0.2">
      <c r="AB172" s="230"/>
    </row>
    <row r="173" spans="28:28" x14ac:dyDescent="0.2">
      <c r="AB173" s="230"/>
    </row>
  </sheetData>
  <sheetProtection algorithmName="SHA-512" hashValue="gD0bV+GQhO7bDmMeY1iMGsrWQsM5rMgdyjgPYmT17CA4DFrVqOf0hnOtiZeMpaaZVlmqCiUtKVXF509cfK2Aww==" saltValue="qKkvOi3PV6lSQFkwSNUknA==" spinCount="100000" sheet="1"/>
  <protectedRanges>
    <protectedRange sqref="C95:E100" name="Range7"/>
    <protectedRange sqref="E60:E100" name="Range6"/>
    <protectedRange sqref="D41:D88" name="Range5"/>
    <protectedRange sqref="A26:C100" name="Range4"/>
    <protectedRange sqref="D13:E26" name="Range3"/>
    <protectedRange sqref="A13:B25" name="Range2"/>
    <protectedRange sqref="A1:E13" name="Range1"/>
  </protectedRanges>
  <mergeCells count="5">
    <mergeCell ref="D99:D100"/>
    <mergeCell ref="F40:F41"/>
    <mergeCell ref="F49:F50"/>
    <mergeCell ref="A39:B39"/>
    <mergeCell ref="A27:B28"/>
  </mergeCells>
  <phoneticPr fontId="5" type="noConversion"/>
  <conditionalFormatting sqref="C28:C29 D28:D31">
    <cfRule type="cellIs" dxfId="6" priority="4" stopIfTrue="1" operator="equal">
      <formula>"Do not adjust this line"</formula>
    </cfRule>
  </conditionalFormatting>
  <conditionalFormatting sqref="D43:D47">
    <cfRule type="containsText" dxfId="5" priority="3" operator="containsText" text="Cannot borrow more than School Estimate">
      <formula>NOT(ISERROR(SEARCH("Cannot borrow more than School Estimate",D43)))</formula>
    </cfRule>
  </conditionalFormatting>
  <conditionalFormatting sqref="C31">
    <cfRule type="containsText" dxfId="4" priority="2" operator="containsText" text="Please correct as Undergraduate Courses are only 2 Semesters">
      <formula>NOT(ISERROR(SEARCH("Please correct as Undergraduate Courses are only 2 Semesters",C31)))</formula>
    </cfRule>
  </conditionalFormatting>
  <conditionalFormatting sqref="D52:D58">
    <cfRule type="containsText" dxfId="3" priority="1" operator="containsText" text="Cannot borrow more than School Estimate">
      <formula>NOT(ISERROR(SEARCH("Cannot borrow more than School Estimate",D52)))</formula>
    </cfRule>
  </conditionalFormatting>
  <dataValidations count="6">
    <dataValidation type="list" allowBlank="1" showInputMessage="1" showErrorMessage="1" sqref="D32" xr:uid="{00000000-0002-0000-0200-000000000000}">
      <formula1>$G$9:$G$10</formula1>
    </dataValidation>
    <dataValidation type="list" allowBlank="1" showInputMessage="1" showErrorMessage="1" sqref="D39" xr:uid="{00000000-0002-0000-0200-000001000000}">
      <formula1>$G$12:$G$13</formula1>
    </dataValidation>
    <dataValidation type="list" allowBlank="1" showInputMessage="1" showErrorMessage="1" sqref="D30" xr:uid="{00000000-0002-0000-0200-000002000000}">
      <formula1>$I$9:$I$11</formula1>
    </dataValidation>
    <dataValidation type="list" allowBlank="1" showInputMessage="1" showErrorMessage="1" sqref="D27:D29" xr:uid="{00000000-0002-0000-0200-000003000000}">
      <formula1>$H$9:$H$10</formula1>
    </dataValidation>
    <dataValidation type="list" allowBlank="1" showInputMessage="1" showErrorMessage="1" sqref="F29 E30:E31" xr:uid="{00000000-0002-0000-0200-000004000000}">
      <formula1>$I$9:$I$23</formula1>
    </dataValidation>
    <dataValidation type="list" allowBlank="1" showInputMessage="1" showErrorMessage="1" sqref="D31" xr:uid="{00000000-0002-0000-0200-000005000000}">
      <formula1>$N$34:$N$36</formula1>
    </dataValidation>
  </dataValidations>
  <printOptions horizontalCentered="1" verticalCentered="1"/>
  <pageMargins left="0.31496062992125984" right="0.19685039370078741" top="0.19685039370078741" bottom="0.39370078740157483" header="0" footer="0"/>
  <pageSetup paperSize="9" scale="50" orientation="portrait" r:id="rId1"/>
  <headerFooter alignWithMargins="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K59"/>
  <sheetViews>
    <sheetView zoomScaleNormal="100" workbookViewId="0">
      <selection activeCell="B62" sqref="B62"/>
    </sheetView>
  </sheetViews>
  <sheetFormatPr defaultColWidth="9.140625" defaultRowHeight="12.75" x14ac:dyDescent="0.2"/>
  <cols>
    <col min="1" max="1" width="9.140625" style="334" customWidth="1"/>
    <col min="2" max="2" width="32.140625" style="335" customWidth="1"/>
    <col min="3" max="3" width="38.140625" style="335" customWidth="1"/>
    <col min="4" max="4" width="16.28515625" style="335" customWidth="1"/>
    <col min="5" max="5" width="14" style="335" customWidth="1"/>
    <col min="6" max="6" width="5.140625" style="338" customWidth="1"/>
    <col min="7" max="7" width="72.7109375" style="335" customWidth="1"/>
    <col min="8" max="8" width="14.28515625" style="335" customWidth="1"/>
    <col min="9" max="9" width="23.28515625" style="335" customWidth="1"/>
    <col min="10" max="10" width="18.5703125" style="335" customWidth="1"/>
    <col min="11" max="11" width="10.7109375" style="335" customWidth="1"/>
    <col min="12" max="16384" width="9.140625" style="335"/>
  </cols>
  <sheetData>
    <row r="1" spans="1:11" s="328" customFormat="1" ht="20.25" x14ac:dyDescent="0.3">
      <c r="A1" s="325"/>
      <c r="B1" s="326" t="s">
        <v>343</v>
      </c>
      <c r="C1" s="326"/>
      <c r="D1" s="326" t="s">
        <v>306</v>
      </c>
      <c r="E1" s="326"/>
      <c r="F1" s="327"/>
      <c r="G1" s="326"/>
      <c r="H1" s="326"/>
      <c r="I1" s="326"/>
      <c r="J1" s="326"/>
    </row>
    <row r="2" spans="1:11" s="322" customFormat="1" ht="15.75" x14ac:dyDescent="0.25">
      <c r="A2" s="329"/>
      <c r="D2" s="330" t="s">
        <v>307</v>
      </c>
      <c r="E2" s="330"/>
      <c r="F2" s="331"/>
      <c r="G2" s="330"/>
      <c r="H2" s="330"/>
      <c r="I2" s="330"/>
      <c r="J2" s="330"/>
    </row>
    <row r="3" spans="1:11" s="333" customFormat="1" ht="15.75" x14ac:dyDescent="0.25">
      <c r="A3" s="332"/>
      <c r="D3" s="333" t="s">
        <v>256</v>
      </c>
      <c r="F3" s="332"/>
      <c r="H3" s="333" t="s">
        <v>257</v>
      </c>
    </row>
    <row r="4" spans="1:11" s="333" customFormat="1" ht="15.75" x14ac:dyDescent="0.25">
      <c r="A4" s="332"/>
      <c r="F4" s="332"/>
    </row>
    <row r="5" spans="1:11" x14ac:dyDescent="0.2">
      <c r="D5" s="336" t="s">
        <v>310</v>
      </c>
      <c r="E5" s="337"/>
      <c r="H5" s="336" t="s">
        <v>311</v>
      </c>
      <c r="I5" s="337"/>
      <c r="J5" s="336"/>
      <c r="K5" s="337"/>
    </row>
    <row r="6" spans="1:11" s="106" customFormat="1" x14ac:dyDescent="0.2">
      <c r="A6" s="334">
        <v>1</v>
      </c>
      <c r="B6" s="106" t="s">
        <v>216</v>
      </c>
      <c r="C6" s="106" t="s">
        <v>238</v>
      </c>
      <c r="D6" s="339" t="s">
        <v>459</v>
      </c>
      <c r="F6" s="334">
        <v>6</v>
      </c>
      <c r="G6" s="106" t="s">
        <v>236</v>
      </c>
      <c r="H6" s="335"/>
    </row>
    <row r="7" spans="1:11" x14ac:dyDescent="0.2">
      <c r="C7" s="106" t="s">
        <v>217</v>
      </c>
      <c r="D7" s="340">
        <v>44805</v>
      </c>
      <c r="E7" s="341">
        <f>D7+362</f>
        <v>45167</v>
      </c>
      <c r="G7" s="335" t="s">
        <v>445</v>
      </c>
      <c r="H7" s="342">
        <v>15000</v>
      </c>
      <c r="I7" s="343"/>
      <c r="J7" s="344">
        <f>H7</f>
        <v>15000</v>
      </c>
    </row>
    <row r="8" spans="1:11" x14ac:dyDescent="0.2">
      <c r="C8" s="106" t="s">
        <v>286</v>
      </c>
      <c r="D8" s="340">
        <v>44686</v>
      </c>
      <c r="H8" s="345"/>
      <c r="I8" s="343"/>
      <c r="J8" s="343"/>
    </row>
    <row r="9" spans="1:11" s="106" customFormat="1" x14ac:dyDescent="0.2">
      <c r="A9" s="334"/>
      <c r="B9" s="106" t="s">
        <v>219</v>
      </c>
      <c r="D9" s="335"/>
      <c r="F9" s="334">
        <v>7</v>
      </c>
      <c r="G9" s="106" t="s">
        <v>239</v>
      </c>
      <c r="H9" s="336" t="s">
        <v>313</v>
      </c>
      <c r="I9" s="337"/>
      <c r="J9" s="336"/>
    </row>
    <row r="10" spans="1:11" s="106" customFormat="1" x14ac:dyDescent="0.2">
      <c r="A10" s="334"/>
      <c r="B10" s="335" t="s">
        <v>218</v>
      </c>
      <c r="D10" s="340">
        <v>44819</v>
      </c>
      <c r="E10" s="321" t="s">
        <v>247</v>
      </c>
      <c r="F10" s="334"/>
      <c r="G10" s="335" t="s">
        <v>240</v>
      </c>
      <c r="H10" s="342">
        <v>165</v>
      </c>
      <c r="I10" s="346"/>
      <c r="J10" s="347"/>
      <c r="K10" s="348">
        <f>H10*4</f>
        <v>660</v>
      </c>
    </row>
    <row r="11" spans="1:11" s="106" customFormat="1" x14ac:dyDescent="0.2">
      <c r="A11" s="334"/>
      <c r="B11" s="335" t="s">
        <v>436</v>
      </c>
      <c r="D11" s="340">
        <v>45077</v>
      </c>
      <c r="E11" s="349">
        <v>38</v>
      </c>
      <c r="F11" s="334"/>
      <c r="G11" s="335" t="s">
        <v>245</v>
      </c>
      <c r="H11" s="342">
        <v>165</v>
      </c>
      <c r="I11" s="344">
        <f>MAX(H10:H11)</f>
        <v>165</v>
      </c>
      <c r="J11" s="347"/>
    </row>
    <row r="12" spans="1:11" s="106" customFormat="1" x14ac:dyDescent="0.2">
      <c r="A12" s="334"/>
      <c r="B12" s="338" t="s">
        <v>258</v>
      </c>
      <c r="C12" s="335" t="s">
        <v>259</v>
      </c>
      <c r="D12" s="340">
        <v>45077</v>
      </c>
      <c r="E12" s="321" t="s">
        <v>277</v>
      </c>
      <c r="F12" s="334"/>
      <c r="G12" s="335" t="s">
        <v>294</v>
      </c>
      <c r="H12" s="342">
        <v>20</v>
      </c>
      <c r="I12" s="347"/>
      <c r="J12" s="347"/>
    </row>
    <row r="13" spans="1:11" s="106" customFormat="1" x14ac:dyDescent="0.2">
      <c r="A13" s="334"/>
      <c r="E13" s="321">
        <v>52</v>
      </c>
      <c r="F13" s="334"/>
      <c r="G13" s="335" t="s">
        <v>275</v>
      </c>
      <c r="H13" s="342">
        <v>80</v>
      </c>
      <c r="I13" s="347"/>
      <c r="J13" s="347"/>
    </row>
    <row r="14" spans="1:11" x14ac:dyDescent="0.2">
      <c r="A14" s="334">
        <v>2</v>
      </c>
      <c r="B14" s="106" t="s">
        <v>220</v>
      </c>
      <c r="C14" s="106"/>
      <c r="G14" s="335" t="s">
        <v>243</v>
      </c>
      <c r="H14" s="342">
        <v>20</v>
      </c>
      <c r="I14" s="343"/>
      <c r="J14" s="343"/>
    </row>
    <row r="15" spans="1:11" x14ac:dyDescent="0.2">
      <c r="B15" s="106" t="s">
        <v>246</v>
      </c>
      <c r="G15" s="335" t="s">
        <v>244</v>
      </c>
      <c r="H15" s="342">
        <v>25</v>
      </c>
      <c r="I15" s="343"/>
      <c r="J15" s="343"/>
    </row>
    <row r="16" spans="1:11" x14ac:dyDescent="0.2">
      <c r="B16" s="106" t="s">
        <v>221</v>
      </c>
      <c r="G16" s="335" t="s">
        <v>344</v>
      </c>
      <c r="H16" s="342">
        <v>80</v>
      </c>
      <c r="I16" s="344">
        <f>SUM(H12:H16)</f>
        <v>225</v>
      </c>
      <c r="J16" s="344">
        <f>(SUM(I11:I16))*E13</f>
        <v>20280</v>
      </c>
    </row>
    <row r="17" spans="1:11" x14ac:dyDescent="0.2">
      <c r="B17" s="106" t="s">
        <v>295</v>
      </c>
      <c r="D17" s="336" t="s">
        <v>321</v>
      </c>
      <c r="E17" s="337"/>
      <c r="I17" s="343"/>
      <c r="J17" s="343"/>
    </row>
    <row r="18" spans="1:11" x14ac:dyDescent="0.2">
      <c r="B18" s="335" t="s">
        <v>222</v>
      </c>
      <c r="D18" s="340">
        <v>44849</v>
      </c>
      <c r="E18" s="341">
        <f>D19-1</f>
        <v>44940</v>
      </c>
      <c r="F18" s="338">
        <v>8</v>
      </c>
      <c r="G18" s="106" t="s">
        <v>249</v>
      </c>
      <c r="I18" s="343"/>
      <c r="J18" s="343"/>
    </row>
    <row r="19" spans="1:11" x14ac:dyDescent="0.2">
      <c r="B19" s="335" t="s">
        <v>224</v>
      </c>
      <c r="D19" s="340">
        <v>44941</v>
      </c>
      <c r="E19" s="341">
        <f>IF((D20&gt;0),(D20-1),(MAX(D10:D11)))</f>
        <v>45077</v>
      </c>
      <c r="G19" s="335" t="s">
        <v>356</v>
      </c>
      <c r="H19" s="342">
        <v>1300</v>
      </c>
      <c r="I19" s="350"/>
      <c r="J19" s="344">
        <f>H19*2</f>
        <v>2600</v>
      </c>
    </row>
    <row r="20" spans="1:11" x14ac:dyDescent="0.2">
      <c r="B20" s="335" t="s">
        <v>223</v>
      </c>
      <c r="D20" s="340"/>
      <c r="E20" s="341">
        <f>IF((D21&gt;0),(D21-1),(MAX(D11:D12)))</f>
        <v>45077</v>
      </c>
      <c r="G20" s="335" t="s">
        <v>345</v>
      </c>
      <c r="H20" s="342">
        <v>0</v>
      </c>
      <c r="I20" s="350"/>
      <c r="J20" s="343"/>
    </row>
    <row r="21" spans="1:11" x14ac:dyDescent="0.2">
      <c r="B21" s="335" t="s">
        <v>346</v>
      </c>
      <c r="D21" s="340"/>
      <c r="E21" s="341">
        <f>IF((D22&gt;0),(D22-1),(MAX(D11:D12)))</f>
        <v>45077</v>
      </c>
      <c r="G21" s="335" t="s">
        <v>347</v>
      </c>
      <c r="H21" s="342">
        <v>1000</v>
      </c>
      <c r="I21" s="350"/>
      <c r="J21" s="343"/>
    </row>
    <row r="22" spans="1:11" x14ac:dyDescent="0.2">
      <c r="E22" s="341">
        <f>E18</f>
        <v>44940</v>
      </c>
      <c r="F22" s="351" t="s">
        <v>296</v>
      </c>
      <c r="G22" s="352" t="s">
        <v>441</v>
      </c>
      <c r="H22" s="342">
        <v>300</v>
      </c>
      <c r="I22" s="350"/>
      <c r="J22" s="343"/>
    </row>
    <row r="23" spans="1:11" x14ac:dyDescent="0.2">
      <c r="A23" s="334">
        <v>3</v>
      </c>
      <c r="B23" s="106" t="s">
        <v>271</v>
      </c>
      <c r="E23" s="341">
        <f>IF((D20&gt;1),(D20-1),E7)</f>
        <v>45167</v>
      </c>
      <c r="F23" s="351" t="s">
        <v>297</v>
      </c>
      <c r="G23" s="352" t="s">
        <v>446</v>
      </c>
      <c r="H23" s="342">
        <v>950</v>
      </c>
      <c r="I23" s="350"/>
      <c r="J23" s="343"/>
    </row>
    <row r="24" spans="1:11" x14ac:dyDescent="0.2">
      <c r="C24" s="106" t="s">
        <v>241</v>
      </c>
      <c r="E24" s="341">
        <f>IF((D21&gt;1),(D21-1),E7)</f>
        <v>45167</v>
      </c>
      <c r="F24" s="351" t="s">
        <v>298</v>
      </c>
      <c r="G24" s="352" t="s">
        <v>348</v>
      </c>
      <c r="H24" s="342">
        <v>0</v>
      </c>
      <c r="I24" s="350"/>
      <c r="J24" s="343"/>
    </row>
    <row r="25" spans="1:11" x14ac:dyDescent="0.2">
      <c r="C25" s="106" t="s">
        <v>242</v>
      </c>
      <c r="E25" s="341">
        <f>IF((D22&gt;1),(D22-1),E7)</f>
        <v>45167</v>
      </c>
      <c r="F25" s="351" t="s">
        <v>299</v>
      </c>
      <c r="G25" s="352" t="s">
        <v>348</v>
      </c>
      <c r="H25" s="342">
        <v>0</v>
      </c>
      <c r="I25" s="343"/>
      <c r="J25" s="344">
        <f>SUM(H20:H25)</f>
        <v>2250</v>
      </c>
    </row>
    <row r="26" spans="1:11" x14ac:dyDescent="0.2">
      <c r="C26" s="353" t="s">
        <v>227</v>
      </c>
      <c r="D26" s="354" t="s">
        <v>451</v>
      </c>
    </row>
    <row r="27" spans="1:11" x14ac:dyDescent="0.2">
      <c r="C27" s="353" t="s">
        <v>228</v>
      </c>
      <c r="D27" s="354" t="s">
        <v>453</v>
      </c>
    </row>
    <row r="28" spans="1:11" x14ac:dyDescent="0.2">
      <c r="C28" s="353" t="s">
        <v>229</v>
      </c>
      <c r="D28" s="354" t="s">
        <v>452</v>
      </c>
      <c r="F28" s="338">
        <v>9</v>
      </c>
      <c r="G28" s="106" t="s">
        <v>314</v>
      </c>
      <c r="H28" s="106"/>
      <c r="I28" s="336" t="s">
        <v>312</v>
      </c>
      <c r="J28" s="337"/>
      <c r="K28" s="337"/>
    </row>
    <row r="29" spans="1:11" x14ac:dyDescent="0.2">
      <c r="C29" s="353" t="s">
        <v>230</v>
      </c>
      <c r="D29" s="354"/>
      <c r="G29" s="106" t="s">
        <v>225</v>
      </c>
      <c r="H29" s="106" t="s">
        <v>226</v>
      </c>
      <c r="I29" s="355">
        <v>44686</v>
      </c>
    </row>
    <row r="30" spans="1:11" x14ac:dyDescent="0.2">
      <c r="C30" s="353" t="s">
        <v>231</v>
      </c>
      <c r="D30" s="354"/>
      <c r="G30" s="106" t="s">
        <v>273</v>
      </c>
      <c r="H30" s="106" t="s">
        <v>226</v>
      </c>
      <c r="I30" s="355">
        <v>44927</v>
      </c>
    </row>
    <row r="31" spans="1:11" x14ac:dyDescent="0.2">
      <c r="C31" s="353" t="s">
        <v>232</v>
      </c>
      <c r="D31" s="354"/>
      <c r="G31" s="106" t="s">
        <v>235</v>
      </c>
      <c r="H31" s="106" t="s">
        <v>201</v>
      </c>
      <c r="I31" s="334" t="s">
        <v>40</v>
      </c>
      <c r="J31" s="334" t="s">
        <v>200</v>
      </c>
    </row>
    <row r="32" spans="1:11" x14ac:dyDescent="0.2">
      <c r="C32" s="353" t="s">
        <v>233</v>
      </c>
      <c r="D32" s="354"/>
      <c r="G32" s="106" t="s">
        <v>309</v>
      </c>
      <c r="H32" s="335" t="s">
        <v>199</v>
      </c>
      <c r="I32" s="354">
        <v>1.2</v>
      </c>
      <c r="J32" s="354"/>
    </row>
    <row r="33" spans="1:11" x14ac:dyDescent="0.2">
      <c r="C33" s="353" t="s">
        <v>234</v>
      </c>
      <c r="D33" s="354"/>
      <c r="G33" s="106" t="s">
        <v>349</v>
      </c>
      <c r="H33" s="335" t="s">
        <v>202</v>
      </c>
      <c r="I33" s="354"/>
      <c r="J33" s="354"/>
    </row>
    <row r="34" spans="1:11" x14ac:dyDescent="0.2">
      <c r="H34" s="335" t="s">
        <v>203</v>
      </c>
      <c r="I34" s="354"/>
      <c r="J34" s="354"/>
    </row>
    <row r="35" spans="1:11" x14ac:dyDescent="0.2">
      <c r="A35" s="334">
        <v>4</v>
      </c>
      <c r="B35" s="106" t="s">
        <v>350</v>
      </c>
      <c r="H35" s="335" t="s">
        <v>204</v>
      </c>
      <c r="I35" s="354"/>
      <c r="J35" s="354"/>
      <c r="K35" s="106"/>
    </row>
    <row r="36" spans="1:11" x14ac:dyDescent="0.2">
      <c r="B36" s="106" t="s">
        <v>237</v>
      </c>
      <c r="D36" s="336" t="s">
        <v>318</v>
      </c>
      <c r="E36" s="336"/>
      <c r="F36" s="356"/>
      <c r="G36" s="335" t="s">
        <v>335</v>
      </c>
      <c r="H36" s="335" t="s">
        <v>205</v>
      </c>
      <c r="I36" s="354"/>
      <c r="J36" s="354"/>
      <c r="K36" s="106"/>
    </row>
    <row r="37" spans="1:11" x14ac:dyDescent="0.2">
      <c r="B37" s="106" t="s">
        <v>327</v>
      </c>
      <c r="C37" s="106" t="s">
        <v>85</v>
      </c>
      <c r="D37" s="334" t="s">
        <v>214</v>
      </c>
      <c r="E37" s="334" t="s">
        <v>215</v>
      </c>
      <c r="H37" s="335" t="s">
        <v>206</v>
      </c>
      <c r="I37" s="354"/>
      <c r="J37" s="354"/>
    </row>
    <row r="38" spans="1:11" s="106" customFormat="1" x14ac:dyDescent="0.2">
      <c r="A38" s="334"/>
      <c r="C38" s="335" t="s">
        <v>211</v>
      </c>
      <c r="D38" s="354">
        <v>1.0589999999999999</v>
      </c>
      <c r="E38" s="354">
        <v>0</v>
      </c>
      <c r="F38" s="334"/>
      <c r="G38" s="335"/>
      <c r="H38" s="335" t="s">
        <v>207</v>
      </c>
      <c r="I38" s="354"/>
      <c r="J38" s="354"/>
      <c r="K38" s="335"/>
    </row>
    <row r="39" spans="1:11" s="106" customFormat="1" x14ac:dyDescent="0.2">
      <c r="A39" s="334"/>
      <c r="B39" s="335"/>
      <c r="C39" s="335" t="s">
        <v>212</v>
      </c>
      <c r="D39" s="354">
        <v>1.0620000000000001</v>
      </c>
      <c r="E39" s="354">
        <v>0</v>
      </c>
      <c r="F39" s="334"/>
      <c r="G39" s="335"/>
      <c r="H39" s="335" t="s">
        <v>208</v>
      </c>
      <c r="I39" s="354"/>
      <c r="J39" s="354"/>
      <c r="K39" s="335"/>
    </row>
    <row r="40" spans="1:11" x14ac:dyDescent="0.2">
      <c r="C40" s="335" t="s">
        <v>213</v>
      </c>
      <c r="D40" s="354">
        <v>4.226</v>
      </c>
      <c r="E40" s="354">
        <v>0</v>
      </c>
      <c r="G40" s="357"/>
      <c r="H40" s="335" t="s">
        <v>209</v>
      </c>
      <c r="I40" s="354"/>
      <c r="J40" s="354"/>
    </row>
    <row r="41" spans="1:11" x14ac:dyDescent="0.2">
      <c r="C41" s="321" t="s">
        <v>270</v>
      </c>
      <c r="D41" s="351">
        <f>MAX(D38:D40)</f>
        <v>4.226</v>
      </c>
      <c r="E41" s="338"/>
      <c r="G41" s="357"/>
      <c r="H41" s="335" t="s">
        <v>210</v>
      </c>
      <c r="I41" s="354"/>
      <c r="J41" s="354"/>
    </row>
    <row r="42" spans="1:11" x14ac:dyDescent="0.2">
      <c r="G42" s="357"/>
      <c r="H42" s="321" t="s">
        <v>248</v>
      </c>
      <c r="I42" s="351">
        <f>MAX(I32:I41)</f>
        <v>1.2</v>
      </c>
      <c r="J42" s="351">
        <f>MAX(J32:J41)</f>
        <v>0</v>
      </c>
    </row>
    <row r="43" spans="1:11" x14ac:dyDescent="0.2">
      <c r="A43" s="334">
        <v>5</v>
      </c>
      <c r="B43" s="106" t="s">
        <v>332</v>
      </c>
      <c r="G43" s="357"/>
    </row>
    <row r="44" spans="1:11" x14ac:dyDescent="0.2">
      <c r="B44" s="106" t="s">
        <v>320</v>
      </c>
      <c r="G44" s="321" t="s">
        <v>269</v>
      </c>
      <c r="H44" s="321">
        <f>I42</f>
        <v>1.2</v>
      </c>
      <c r="I44" s="106"/>
    </row>
    <row r="45" spans="1:11" x14ac:dyDescent="0.2">
      <c r="B45" s="106"/>
      <c r="D45" s="336" t="s">
        <v>319</v>
      </c>
      <c r="E45" s="336"/>
      <c r="F45" s="356"/>
      <c r="I45" s="106"/>
      <c r="J45" s="106"/>
    </row>
    <row r="46" spans="1:11" ht="25.5" x14ac:dyDescent="0.2">
      <c r="B46" s="358" t="s">
        <v>88</v>
      </c>
      <c r="C46" s="358" t="s">
        <v>75</v>
      </c>
      <c r="D46" s="358" t="s">
        <v>282</v>
      </c>
      <c r="E46" s="358" t="s">
        <v>283</v>
      </c>
      <c r="G46" s="321" t="s">
        <v>284</v>
      </c>
      <c r="H46" s="359">
        <f>ROUND(((SUM(J7:J25))*H44),0)</f>
        <v>48156</v>
      </c>
    </row>
    <row r="47" spans="1:11" x14ac:dyDescent="0.2">
      <c r="B47" s="338" t="s">
        <v>278</v>
      </c>
      <c r="C47" s="360">
        <v>3500</v>
      </c>
      <c r="D47" s="360">
        <v>2000</v>
      </c>
      <c r="E47" s="360">
        <v>6000</v>
      </c>
      <c r="G47" s="321" t="s">
        <v>423</v>
      </c>
      <c r="H47" s="361">
        <f>ROUND((H46*0),0)</f>
        <v>0</v>
      </c>
    </row>
    <row r="48" spans="1:11" x14ac:dyDescent="0.2">
      <c r="B48" s="338" t="s">
        <v>279</v>
      </c>
      <c r="C48" s="360">
        <v>4500</v>
      </c>
      <c r="D48" s="360">
        <v>2000</v>
      </c>
      <c r="E48" s="360">
        <v>6000</v>
      </c>
      <c r="G48" s="321"/>
      <c r="H48" s="359">
        <f>SUM(H46:H47)</f>
        <v>48156</v>
      </c>
    </row>
    <row r="49" spans="1:8" x14ac:dyDescent="0.2">
      <c r="B49" s="338" t="s">
        <v>280</v>
      </c>
      <c r="C49" s="360">
        <v>5500</v>
      </c>
      <c r="D49" s="360">
        <v>2000</v>
      </c>
      <c r="E49" s="360">
        <v>7000</v>
      </c>
      <c r="G49" s="321" t="s">
        <v>285</v>
      </c>
      <c r="H49" s="362">
        <f>H48/100*D41</f>
        <v>2035.0725600000001</v>
      </c>
    </row>
    <row r="50" spans="1:8" ht="13.5" thickBot="1" x14ac:dyDescent="0.25">
      <c r="B50" s="338" t="s">
        <v>281</v>
      </c>
      <c r="C50" s="360">
        <v>5500</v>
      </c>
      <c r="D50" s="360">
        <v>2000</v>
      </c>
      <c r="E50" s="360">
        <v>7000</v>
      </c>
      <c r="G50" s="321" t="s">
        <v>288</v>
      </c>
      <c r="H50" s="363">
        <f>SUM(H48:H49)</f>
        <v>50191.072560000001</v>
      </c>
    </row>
    <row r="51" spans="1:8" ht="13.5" thickTop="1" x14ac:dyDescent="0.2">
      <c r="B51" s="338" t="s">
        <v>91</v>
      </c>
      <c r="C51" s="360">
        <v>0</v>
      </c>
      <c r="D51" s="360">
        <v>0</v>
      </c>
      <c r="E51" s="360">
        <v>20500</v>
      </c>
    </row>
    <row r="52" spans="1:8" x14ac:dyDescent="0.2">
      <c r="E52" s="364"/>
    </row>
    <row r="53" spans="1:8" x14ac:dyDescent="0.2">
      <c r="B53" s="523" t="s">
        <v>422</v>
      </c>
      <c r="C53" s="523"/>
      <c r="D53" s="402"/>
      <c r="E53" s="402"/>
      <c r="G53" s="335" t="s">
        <v>444</v>
      </c>
    </row>
    <row r="54" spans="1:8" s="106" customFormat="1" x14ac:dyDescent="0.2">
      <c r="A54" s="334"/>
      <c r="B54" s="402" t="s">
        <v>421</v>
      </c>
      <c r="C54" s="403" t="s">
        <v>427</v>
      </c>
      <c r="D54" s="403"/>
      <c r="E54" s="403"/>
      <c r="G54" s="335" t="s">
        <v>433</v>
      </c>
    </row>
    <row r="55" spans="1:8" x14ac:dyDescent="0.2">
      <c r="A55" s="338"/>
      <c r="B55" s="402" t="s">
        <v>426</v>
      </c>
      <c r="C55" s="402"/>
      <c r="D55" s="402"/>
      <c r="E55" s="402"/>
      <c r="F55" s="335"/>
      <c r="G55" s="335" t="s">
        <v>434</v>
      </c>
    </row>
    <row r="56" spans="1:8" x14ac:dyDescent="0.2">
      <c r="A56" s="338"/>
      <c r="B56" s="402" t="s">
        <v>428</v>
      </c>
      <c r="C56" s="402"/>
      <c r="D56" s="402"/>
      <c r="E56" s="402"/>
      <c r="F56" s="335"/>
      <c r="G56" s="524" t="s">
        <v>435</v>
      </c>
    </row>
    <row r="57" spans="1:8" x14ac:dyDescent="0.2">
      <c r="A57" s="338"/>
      <c r="B57" s="402" t="s">
        <v>429</v>
      </c>
      <c r="C57" s="402"/>
      <c r="D57" s="402"/>
      <c r="E57" s="402"/>
      <c r="F57" s="335"/>
      <c r="G57" s="524"/>
    </row>
    <row r="58" spans="1:8" x14ac:dyDescent="0.2">
      <c r="B58" s="402" t="s">
        <v>430</v>
      </c>
      <c r="C58" s="402"/>
      <c r="D58" s="402"/>
      <c r="E58" s="402"/>
      <c r="G58" s="524"/>
    </row>
    <row r="59" spans="1:8" x14ac:dyDescent="0.2">
      <c r="B59" s="402" t="s">
        <v>431</v>
      </c>
      <c r="C59" s="402"/>
      <c r="D59" s="402"/>
      <c r="E59" s="402"/>
    </row>
  </sheetData>
  <sheetProtection algorithmName="SHA-512" hashValue="kYVrjrKPNYSU6JEFaypdlts12BKlpkdlsS+s+LTXC54emdL7kriyc3uVkgwT7GIXK/cHAH/DjDhXavywwOwGDA==" saltValue="F9ubizrVRQFs2ehQKaRqHg==" spinCount="100000" sheet="1" selectLockedCells="1"/>
  <mergeCells count="2">
    <mergeCell ref="B53:C53"/>
    <mergeCell ref="G56:G58"/>
  </mergeCells>
  <phoneticPr fontId="5" type="noConversion"/>
  <pageMargins left="0.75" right="0.75" top="1" bottom="1" header="0.5" footer="0.5"/>
  <pageSetup paperSize="9" scale="5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30"/>
  <sheetViews>
    <sheetView showGridLines="0" showRowColHeaders="0" topLeftCell="A4" zoomScale="85" zoomScaleNormal="85" workbookViewId="0">
      <selection activeCell="A75" sqref="A75"/>
    </sheetView>
  </sheetViews>
  <sheetFormatPr defaultColWidth="9.140625" defaultRowHeight="12.75" x14ac:dyDescent="0.2"/>
  <cols>
    <col min="1" max="1" width="81.140625" bestFit="1" customWidth="1"/>
    <col min="2" max="2" width="13.28515625" bestFit="1" customWidth="1"/>
    <col min="3" max="3" width="124.28515625" customWidth="1"/>
    <col min="5" max="5" width="0" hidden="1" customWidth="1"/>
  </cols>
  <sheetData>
    <row r="1" spans="1:5" s="8" customFormat="1" ht="15.75" x14ac:dyDescent="0.25">
      <c r="A1" s="294" t="s">
        <v>94</v>
      </c>
      <c r="B1" s="84"/>
      <c r="C1" s="85"/>
      <c r="E1" s="86" t="s">
        <v>107</v>
      </c>
    </row>
    <row r="2" spans="1:5" s="8" customFormat="1" ht="15.75" x14ac:dyDescent="0.25">
      <c r="A2" s="295" t="s">
        <v>93</v>
      </c>
      <c r="C2" s="88"/>
      <c r="E2" s="86" t="s">
        <v>4</v>
      </c>
    </row>
    <row r="3" spans="1:5" s="8" customFormat="1" ht="15.75" x14ac:dyDescent="0.25">
      <c r="A3" s="295" t="s">
        <v>137</v>
      </c>
      <c r="C3" s="88"/>
      <c r="E3" s="86"/>
    </row>
    <row r="4" spans="1:5" s="8" customFormat="1" x14ac:dyDescent="0.2">
      <c r="A4" s="87"/>
      <c r="C4" s="88"/>
      <c r="E4" s="86" t="s">
        <v>5</v>
      </c>
    </row>
    <row r="5" spans="1:5" s="8" customFormat="1" x14ac:dyDescent="0.2">
      <c r="A5" s="87"/>
      <c r="B5" s="8" t="s">
        <v>95</v>
      </c>
      <c r="C5" s="88" t="s">
        <v>99</v>
      </c>
      <c r="E5" s="86"/>
    </row>
    <row r="6" spans="1:5" s="8" customFormat="1" ht="15.75" x14ac:dyDescent="0.25">
      <c r="A6" s="296" t="s">
        <v>23</v>
      </c>
      <c r="B6" s="8" t="s">
        <v>100</v>
      </c>
      <c r="C6" s="89"/>
    </row>
    <row r="7" spans="1:5" s="8" customFormat="1" ht="15.75" x14ac:dyDescent="0.25">
      <c r="A7" s="90" t="s">
        <v>251</v>
      </c>
      <c r="B7" s="324" t="s">
        <v>5</v>
      </c>
      <c r="C7" s="91" t="str">
        <f t="shared" ref="C7:C12" si="0">IF((B7="n"),"Go back to the Cost of Attendance and enter it or we cannot process your application","")</f>
        <v>Go back to the Cost of Attendance and enter it or we cannot process your application</v>
      </c>
    </row>
    <row r="8" spans="1:5" s="8" customFormat="1" ht="15.75" x14ac:dyDescent="0.25">
      <c r="A8" s="90" t="s">
        <v>252</v>
      </c>
      <c r="B8" s="34" t="s">
        <v>5</v>
      </c>
      <c r="C8" s="91" t="str">
        <f t="shared" si="0"/>
        <v>Go back to the Cost of Attendance and enter it or we cannot process your application</v>
      </c>
    </row>
    <row r="9" spans="1:5" s="8" customFormat="1" ht="15.75" x14ac:dyDescent="0.25">
      <c r="A9" s="90" t="s">
        <v>253</v>
      </c>
      <c r="B9" s="34" t="s">
        <v>5</v>
      </c>
      <c r="C9" s="91" t="str">
        <f t="shared" si="0"/>
        <v>Go back to the Cost of Attendance and enter it or we cannot process your application</v>
      </c>
    </row>
    <row r="10" spans="1:5" ht="15.75" x14ac:dyDescent="0.25">
      <c r="A10" s="90" t="s">
        <v>254</v>
      </c>
      <c r="B10" s="34" t="s">
        <v>5</v>
      </c>
      <c r="C10" s="91" t="str">
        <f t="shared" si="0"/>
        <v>Go back to the Cost of Attendance and enter it or we cannot process your application</v>
      </c>
    </row>
    <row r="11" spans="1:5" ht="15.75" x14ac:dyDescent="0.25">
      <c r="A11" s="90" t="s">
        <v>255</v>
      </c>
      <c r="B11" s="34" t="s">
        <v>5</v>
      </c>
      <c r="C11" s="91" t="str">
        <f t="shared" si="0"/>
        <v>Go back to the Cost of Attendance and enter it or we cannot process your application</v>
      </c>
    </row>
    <row r="12" spans="1:5" ht="15.75" x14ac:dyDescent="0.25">
      <c r="A12" s="90" t="s">
        <v>250</v>
      </c>
      <c r="B12" s="34" t="s">
        <v>5</v>
      </c>
      <c r="C12" s="91" t="str">
        <f t="shared" si="0"/>
        <v>Go back to the Cost of Attendance and enter it or we cannot process your application</v>
      </c>
    </row>
    <row r="13" spans="1:5" ht="15.75" x14ac:dyDescent="0.25">
      <c r="A13" s="305" t="s">
        <v>457</v>
      </c>
      <c r="B13" s="34" t="s">
        <v>5</v>
      </c>
      <c r="C13" s="91" t="str">
        <f>IF((B13="n"),"Please note, for verification you are required to send a completed copy of this form to USFinancialAid@mu.ie.","")</f>
        <v>Please note, for verification you are required to send a completed copy of this form to USFinancialAid@mu.ie.</v>
      </c>
    </row>
    <row r="14" spans="1:5" x14ac:dyDescent="0.2">
      <c r="A14" s="87"/>
      <c r="B14" s="92"/>
      <c r="C14" s="93"/>
    </row>
    <row r="15" spans="1:5" ht="15.75" x14ac:dyDescent="0.25">
      <c r="A15" s="297" t="s">
        <v>103</v>
      </c>
      <c r="B15" s="92"/>
      <c r="C15" s="91"/>
    </row>
    <row r="16" spans="1:5" ht="15.75" x14ac:dyDescent="0.25">
      <c r="A16" s="90" t="s">
        <v>143</v>
      </c>
      <c r="B16" s="34" t="s">
        <v>5</v>
      </c>
      <c r="C16" s="91"/>
    </row>
    <row r="17" spans="1:3" ht="15.75" x14ac:dyDescent="0.25">
      <c r="A17" s="90" t="str">
        <f>IF((B16="N"),"Have you signed up for selective service","")</f>
        <v>Have you signed up for selective service</v>
      </c>
      <c r="B17" s="34"/>
      <c r="C17" s="91"/>
    </row>
    <row r="18" spans="1:3" ht="15.75" x14ac:dyDescent="0.25">
      <c r="A18" s="90" t="str">
        <f>IF((B17="N"),"Have you attached proof you are exempt from selective service","")</f>
        <v/>
      </c>
      <c r="B18" s="34"/>
      <c r="C18" s="91" t="str">
        <f>IF(((B18="n")*AND(B17="n")),"Application Rejected","")</f>
        <v/>
      </c>
    </row>
    <row r="19" spans="1:3" ht="15.75" x14ac:dyDescent="0.25">
      <c r="A19" s="90"/>
      <c r="B19" s="92"/>
      <c r="C19" s="91"/>
    </row>
    <row r="20" spans="1:3" ht="15.75" x14ac:dyDescent="0.25">
      <c r="A20" s="297" t="s">
        <v>104</v>
      </c>
      <c r="B20" s="92"/>
      <c r="C20" s="91"/>
    </row>
    <row r="21" spans="1:3" ht="15.75" x14ac:dyDescent="0.25">
      <c r="A21" s="90" t="s">
        <v>101</v>
      </c>
      <c r="B21" s="34" t="s">
        <v>5</v>
      </c>
      <c r="C21" s="91" t="str">
        <f>IF((B21="n"),"Application Rejected","")</f>
        <v>Application Rejected</v>
      </c>
    </row>
    <row r="22" spans="1:3" ht="15.75" x14ac:dyDescent="0.25">
      <c r="A22" s="90" t="s">
        <v>102</v>
      </c>
      <c r="B22" s="34" t="s">
        <v>5</v>
      </c>
      <c r="C22" s="91"/>
    </row>
    <row r="23" spans="1:3" ht="15.75" x14ac:dyDescent="0.25">
      <c r="A23" s="90" t="str">
        <f>IF((B22="Y"),"Have you attached your PLUS MPN","")</f>
        <v/>
      </c>
      <c r="B23" s="34" t="s">
        <v>5</v>
      </c>
      <c r="C23" s="91" t="str">
        <f>IF(((B23="n")*AND(B22="y")),"Application Rejected","")</f>
        <v/>
      </c>
    </row>
    <row r="24" spans="1:3" ht="15.75" x14ac:dyDescent="0.25">
      <c r="A24" s="90" t="str">
        <f>IF((B22="Y"),"Have you attached your Credit Check result email or screenshot","")</f>
        <v/>
      </c>
      <c r="B24" s="34" t="s">
        <v>5</v>
      </c>
      <c r="C24" s="91" t="str">
        <f>IF(((B24="n")*AND(B22="y")),"Application Rejected","")</f>
        <v/>
      </c>
    </row>
    <row r="25" spans="1:3" ht="15.75" x14ac:dyDescent="0.25">
      <c r="A25" s="90"/>
      <c r="B25" s="92"/>
      <c r="C25" s="91"/>
    </row>
    <row r="26" spans="1:3" ht="15.75" x14ac:dyDescent="0.25">
      <c r="A26" s="297" t="s">
        <v>105</v>
      </c>
      <c r="B26" s="92"/>
      <c r="C26" s="91"/>
    </row>
    <row r="27" spans="1:3" ht="15.75" x14ac:dyDescent="0.25">
      <c r="A27" s="90" t="s">
        <v>106</v>
      </c>
      <c r="B27" s="34" t="s">
        <v>5</v>
      </c>
      <c r="C27" s="91" t="str">
        <f>IF((B27="n"),"Application Rejected","")</f>
        <v>Application Rejected</v>
      </c>
    </row>
    <row r="28" spans="1:3" ht="15.75" x14ac:dyDescent="0.25">
      <c r="A28" s="90"/>
      <c r="B28" s="92"/>
      <c r="C28" s="91" t="str">
        <f>IF((B28="n"),"Application Rejected","")</f>
        <v/>
      </c>
    </row>
    <row r="29" spans="1:3" s="96" customFormat="1" ht="16.5" thickBot="1" x14ac:dyDescent="0.3">
      <c r="A29" s="298" t="s">
        <v>139</v>
      </c>
      <c r="B29" s="94"/>
      <c r="C29" s="95"/>
    </row>
    <row r="30" spans="1:3" ht="15.75" x14ac:dyDescent="0.25">
      <c r="C30" s="96"/>
    </row>
  </sheetData>
  <sheetProtection selectLockedCells="1"/>
  <phoneticPr fontId="5" type="noConversion"/>
  <dataValidations count="1">
    <dataValidation type="list" allowBlank="1" showInputMessage="1" showErrorMessage="1" sqref="B16:B18 B27 B21:B24 B7:B13" xr:uid="{00000000-0002-0000-0300-000000000000}">
      <formula1>$E$2:$E$5</formula1>
    </dataValidation>
  </dataValidations>
  <pageMargins left="0.75" right="0.75" top="1" bottom="1" header="0.5" footer="0.5"/>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B1:H59"/>
  <sheetViews>
    <sheetView showGridLines="0" showRowColHeaders="0" zoomScale="70" zoomScaleNormal="70" workbookViewId="0">
      <selection activeCell="C41" sqref="C41"/>
    </sheetView>
  </sheetViews>
  <sheetFormatPr defaultRowHeight="12.75" x14ac:dyDescent="0.2"/>
  <cols>
    <col min="1" max="1" width="5.28515625" customWidth="1"/>
    <col min="2" max="2" width="34" customWidth="1"/>
    <col min="3" max="3" width="61.7109375" customWidth="1"/>
  </cols>
  <sheetData>
    <row r="1" spans="2:8" ht="15.75" x14ac:dyDescent="0.25">
      <c r="B1" s="222" t="str">
        <f>IF('Cost of Attendance'!C15&lt;&gt;"Forename", 'Cost of Attendance'!C15, " ")&amp;" "&amp;IF('Cost of Attendance'!C14&lt;&gt;"Surname", 'Cost of Attendance'!C14, " ")</f>
        <v xml:space="preserve">   </v>
      </c>
      <c r="C1" s="207"/>
      <c r="D1" s="35"/>
      <c r="E1" s="35"/>
      <c r="F1" s="35"/>
      <c r="G1" s="35"/>
      <c r="H1" s="35"/>
    </row>
    <row r="2" spans="2:8" ht="15.75" x14ac:dyDescent="0.25">
      <c r="B2" s="222" t="str">
        <f>IF('Cost of Attendance'!C16&lt;&gt;"line 1", 'Cost of Attendance'!C16, " ")</f>
        <v xml:space="preserve"> </v>
      </c>
      <c r="C2" s="207"/>
      <c r="D2" s="35"/>
      <c r="E2" s="35"/>
      <c r="F2" s="35"/>
      <c r="G2" s="35"/>
      <c r="H2" s="35"/>
    </row>
    <row r="3" spans="2:8" ht="15.75" x14ac:dyDescent="0.25">
      <c r="B3" s="222" t="str">
        <f>IF('Cost of Attendance'!C17&lt;&gt;"line 2", 'Cost of Attendance'!C17, " ")</f>
        <v xml:space="preserve"> </v>
      </c>
      <c r="C3" s="207"/>
      <c r="D3" s="35"/>
      <c r="E3" s="35"/>
      <c r="F3" s="35"/>
      <c r="G3" s="35"/>
      <c r="H3" s="35"/>
    </row>
    <row r="4" spans="2:8" ht="15.75" x14ac:dyDescent="0.25">
      <c r="B4" s="222" t="str">
        <f>IF('Cost of Attendance'!C18&lt;&gt;"line 3", 'Cost of Attendance'!C18, " ")</f>
        <v xml:space="preserve"> </v>
      </c>
      <c r="C4" s="207"/>
      <c r="D4" s="35"/>
      <c r="E4" s="35"/>
      <c r="F4" s="35"/>
      <c r="G4" s="35"/>
      <c r="H4" s="35"/>
    </row>
    <row r="5" spans="2:8" ht="15.75" x14ac:dyDescent="0.25">
      <c r="B5" s="222" t="str">
        <f>IF('Cost of Attendance'!C19&lt;&gt;"line 4", 'Cost of Attendance'!C19, " ")</f>
        <v xml:space="preserve"> </v>
      </c>
      <c r="C5" s="207"/>
      <c r="D5" s="35"/>
      <c r="E5" s="35"/>
      <c r="F5" s="35"/>
      <c r="G5" s="35"/>
      <c r="H5" s="35"/>
    </row>
    <row r="6" spans="2:8" ht="15.75" x14ac:dyDescent="0.25">
      <c r="B6" s="222" t="str">
        <f>IF('Cost of Attendance'!C20&lt;&gt;"postcode/zipcode", 'Cost of Attendance'!C20, " ")</f>
        <v xml:space="preserve"> </v>
      </c>
      <c r="C6" s="207"/>
      <c r="D6" s="35"/>
      <c r="E6" s="35"/>
      <c r="F6" s="35"/>
      <c r="G6" s="35"/>
      <c r="H6" s="35"/>
    </row>
    <row r="7" spans="2:8" x14ac:dyDescent="0.2">
      <c r="B7" s="208"/>
      <c r="C7" s="207"/>
      <c r="D7" s="35"/>
      <c r="E7" s="35"/>
      <c r="F7" s="35"/>
      <c r="G7" s="35"/>
      <c r="H7" s="35"/>
    </row>
    <row r="8" spans="2:8" x14ac:dyDescent="0.2">
      <c r="B8" s="209"/>
      <c r="C8" s="207"/>
      <c r="D8" s="35"/>
      <c r="E8" s="35"/>
      <c r="F8" s="35"/>
      <c r="G8" s="35"/>
      <c r="H8" s="35"/>
    </row>
    <row r="9" spans="2:8" x14ac:dyDescent="0.2">
      <c r="B9" s="210"/>
      <c r="C9" s="207"/>
      <c r="D9" s="35"/>
      <c r="E9" s="35"/>
      <c r="F9" s="35"/>
      <c r="G9" s="35"/>
      <c r="H9" s="35"/>
    </row>
    <row r="10" spans="2:8" x14ac:dyDescent="0.2">
      <c r="B10" s="207"/>
      <c r="C10" s="207"/>
      <c r="D10" s="35"/>
      <c r="E10" s="35"/>
      <c r="F10" s="35"/>
      <c r="G10" s="35"/>
      <c r="H10" s="35"/>
    </row>
    <row r="11" spans="2:8" ht="22.5" x14ac:dyDescent="0.3">
      <c r="B11" s="211" t="s">
        <v>378</v>
      </c>
      <c r="C11" s="207"/>
      <c r="D11" s="35"/>
      <c r="E11" s="35"/>
      <c r="F11" s="35"/>
      <c r="G11" s="35"/>
      <c r="H11" s="35"/>
    </row>
    <row r="12" spans="2:8" ht="22.5" x14ac:dyDescent="0.3">
      <c r="B12" s="212" t="str">
        <f>'Cost of Attendance'!C4</f>
        <v>for Academic Year 2022/23</v>
      </c>
      <c r="C12" s="207"/>
      <c r="D12" s="35"/>
      <c r="E12" s="35"/>
      <c r="F12" s="35"/>
      <c r="G12" s="35"/>
      <c r="H12" s="35"/>
    </row>
    <row r="13" spans="2:8" x14ac:dyDescent="0.2">
      <c r="B13" s="207"/>
      <c r="C13" s="207"/>
      <c r="D13" s="35"/>
      <c r="E13" s="35"/>
      <c r="F13" s="35"/>
      <c r="G13" s="35"/>
      <c r="H13" s="35"/>
    </row>
    <row r="14" spans="2:8" ht="15.75" x14ac:dyDescent="0.25">
      <c r="B14" s="213" t="s">
        <v>379</v>
      </c>
      <c r="C14" s="207"/>
      <c r="D14" s="35"/>
      <c r="E14" s="35"/>
      <c r="F14" s="35"/>
      <c r="G14" s="35"/>
      <c r="H14" s="35"/>
    </row>
    <row r="15" spans="2:8" ht="15.75" x14ac:dyDescent="0.25">
      <c r="B15" s="213" t="s">
        <v>380</v>
      </c>
      <c r="C15" s="207"/>
      <c r="D15" s="35"/>
      <c r="E15" s="35"/>
      <c r="F15" s="35"/>
      <c r="G15" s="35"/>
      <c r="H15" s="35"/>
    </row>
    <row r="16" spans="2:8" ht="15.75" x14ac:dyDescent="0.25">
      <c r="B16" s="213" t="s">
        <v>381</v>
      </c>
      <c r="C16" s="207"/>
      <c r="D16" s="35"/>
      <c r="E16" s="35"/>
      <c r="F16" s="35"/>
      <c r="G16" s="35"/>
      <c r="H16" s="35"/>
    </row>
    <row r="17" spans="2:8" ht="15.75" x14ac:dyDescent="0.25">
      <c r="B17" s="213"/>
      <c r="C17" s="207"/>
      <c r="D17" s="35"/>
      <c r="E17" s="35"/>
      <c r="F17" s="35"/>
      <c r="G17" s="35"/>
      <c r="H17" s="35"/>
    </row>
    <row r="18" spans="2:8" s="42" customFormat="1" ht="15.75" x14ac:dyDescent="0.25">
      <c r="B18" s="214" t="s">
        <v>110</v>
      </c>
      <c r="C18" s="215" t="str">
        <f>'Cost of Attendance'!C15&amp;" "&amp;'Cost of Attendance'!C14</f>
        <v>forename surname</v>
      </c>
      <c r="D18" s="41"/>
      <c r="E18" s="41"/>
      <c r="F18" s="41"/>
      <c r="G18" s="41"/>
      <c r="H18" s="41"/>
    </row>
    <row r="19" spans="2:8" s="42" customFormat="1" ht="15.75" x14ac:dyDescent="0.25">
      <c r="B19" s="216" t="s">
        <v>111</v>
      </c>
      <c r="C19" s="217" t="str">
        <f>'Cost of Attendance'!C22</f>
        <v>dd/mm/yyyy</v>
      </c>
      <c r="D19" s="41"/>
      <c r="E19" s="41"/>
      <c r="F19" s="41"/>
      <c r="G19" s="41"/>
      <c r="H19" s="41"/>
    </row>
    <row r="20" spans="2:8" s="42" customFormat="1" ht="31.5" x14ac:dyDescent="0.25">
      <c r="B20" s="216" t="s">
        <v>112</v>
      </c>
      <c r="C20" s="281" t="str">
        <f>'Cost of Attendance'!C24</f>
        <v>[Type Applicant/Student Number as appears on your Application]</v>
      </c>
      <c r="D20" s="41"/>
      <c r="E20" s="41"/>
      <c r="F20" s="41"/>
      <c r="G20" s="41"/>
      <c r="H20" s="41"/>
    </row>
    <row r="21" spans="2:8" x14ac:dyDescent="0.2">
      <c r="B21" s="207"/>
      <c r="C21" s="207"/>
      <c r="D21" s="35"/>
      <c r="E21" s="35"/>
      <c r="F21" s="35"/>
      <c r="G21" s="35"/>
      <c r="H21" s="35"/>
    </row>
    <row r="22" spans="2:8" s="1" customFormat="1" ht="15.75" x14ac:dyDescent="0.25">
      <c r="B22" s="213"/>
      <c r="C22" s="213"/>
      <c r="D22" s="54"/>
      <c r="E22" s="54"/>
      <c r="F22" s="54"/>
      <c r="G22" s="54"/>
      <c r="H22" s="54"/>
    </row>
    <row r="23" spans="2:8" s="1" customFormat="1" ht="15.75" x14ac:dyDescent="0.25">
      <c r="B23" s="213" t="s">
        <v>382</v>
      </c>
      <c r="C23" s="213"/>
      <c r="D23" s="54"/>
      <c r="E23" s="54"/>
      <c r="F23" s="54"/>
      <c r="G23" s="54"/>
      <c r="H23" s="54"/>
    </row>
    <row r="24" spans="2:8" s="50" customFormat="1" ht="15.75" x14ac:dyDescent="0.25">
      <c r="B24" s="218" t="s">
        <v>117</v>
      </c>
      <c r="C24" s="219">
        <f>IF(('Cost of Attendance'!D27="n"),'Cost of Attendance'!J15,'Cost of Attendance'!J13)</f>
        <v>44805</v>
      </c>
      <c r="D24" s="49"/>
      <c r="E24" s="49"/>
      <c r="F24" s="49"/>
      <c r="G24" s="49"/>
      <c r="H24" s="49"/>
    </row>
    <row r="25" spans="2:8" s="50" customFormat="1" ht="15.75" x14ac:dyDescent="0.25">
      <c r="B25" s="218" t="s">
        <v>118</v>
      </c>
      <c r="C25" s="219">
        <f>IF(('Cost of Attendance'!D27="n"),'Cost of Attendance'!J16,'Cost of Attendance'!J14)</f>
        <v>45077</v>
      </c>
      <c r="D25" s="49"/>
      <c r="E25" s="49"/>
      <c r="F25" s="49"/>
      <c r="G25" s="49"/>
      <c r="H25" s="49"/>
    </row>
    <row r="26" spans="2:8" x14ac:dyDescent="0.2">
      <c r="B26" s="207"/>
      <c r="C26" s="207"/>
      <c r="D26" s="35"/>
      <c r="E26" s="35"/>
      <c r="F26" s="35"/>
      <c r="G26" s="35"/>
      <c r="H26" s="35"/>
    </row>
    <row r="27" spans="2:8" ht="15.75" x14ac:dyDescent="0.25">
      <c r="B27" s="213" t="s">
        <v>387</v>
      </c>
      <c r="C27" s="207"/>
      <c r="D27" s="35"/>
      <c r="E27" s="35"/>
      <c r="F27" s="35"/>
      <c r="G27" s="35"/>
      <c r="H27" s="35"/>
    </row>
    <row r="28" spans="2:8" s="42" customFormat="1" ht="15.75" x14ac:dyDescent="0.25">
      <c r="B28" s="214" t="s">
        <v>377</v>
      </c>
      <c r="C28" s="220">
        <f>'Cost of Attendance'!D91</f>
        <v>18964</v>
      </c>
      <c r="D28" s="41"/>
      <c r="E28" s="41"/>
      <c r="F28" s="41"/>
      <c r="G28" s="41"/>
      <c r="H28" s="41"/>
    </row>
    <row r="29" spans="2:8" x14ac:dyDescent="0.2">
      <c r="B29" s="207"/>
      <c r="C29" s="207"/>
      <c r="D29" s="35"/>
      <c r="E29" s="35"/>
      <c r="F29" s="35"/>
      <c r="G29" s="35"/>
      <c r="H29" s="35"/>
    </row>
    <row r="30" spans="2:8" ht="15.75" x14ac:dyDescent="0.25">
      <c r="B30" s="213" t="s">
        <v>123</v>
      </c>
      <c r="C30" s="207"/>
      <c r="D30" s="35"/>
      <c r="E30" s="35"/>
      <c r="F30" s="35"/>
      <c r="G30" s="35"/>
      <c r="H30" s="35"/>
    </row>
    <row r="31" spans="2:8" s="47" customFormat="1" ht="15.75" x14ac:dyDescent="0.25">
      <c r="B31" s="219">
        <f>'Cost of Attendance'!M13</f>
        <v>44849</v>
      </c>
      <c r="C31" s="221">
        <f>C28/2</f>
        <v>9482</v>
      </c>
      <c r="D31" s="46"/>
      <c r="E31" s="46"/>
      <c r="F31" s="46"/>
      <c r="G31" s="46"/>
      <c r="H31" s="46"/>
    </row>
    <row r="32" spans="2:8" s="47" customFormat="1" ht="15.75" x14ac:dyDescent="0.25">
      <c r="B32" s="219">
        <f>'Cost of Attendance'!M14</f>
        <v>44941</v>
      </c>
      <c r="C32" s="221">
        <f>C28/2</f>
        <v>9482</v>
      </c>
      <c r="D32" s="46"/>
      <c r="E32" s="46"/>
      <c r="F32" s="46"/>
      <c r="G32" s="46"/>
      <c r="H32" s="46"/>
    </row>
    <row r="33" spans="2:8" s="47" customFormat="1" ht="15.75" x14ac:dyDescent="0.25">
      <c r="B33" s="219"/>
      <c r="C33" s="221"/>
      <c r="D33" s="46"/>
      <c r="E33" s="46"/>
      <c r="F33" s="46"/>
      <c r="G33" s="46"/>
      <c r="H33" s="46"/>
    </row>
    <row r="34" spans="2:8" s="47" customFormat="1" ht="15.75" x14ac:dyDescent="0.25">
      <c r="B34" s="219"/>
      <c r="C34" s="221"/>
      <c r="D34" s="46"/>
      <c r="E34" s="46"/>
      <c r="F34" s="46"/>
      <c r="G34" s="46"/>
      <c r="H34" s="46"/>
    </row>
    <row r="35" spans="2:8" s="47" customFormat="1" ht="15.75" x14ac:dyDescent="0.25">
      <c r="B35" s="218" t="s">
        <v>83</v>
      </c>
      <c r="C35" s="221">
        <f>SUM(C31:C34)</f>
        <v>18964</v>
      </c>
      <c r="D35" s="46"/>
      <c r="E35" s="46"/>
      <c r="F35" s="46"/>
      <c r="G35" s="46"/>
      <c r="H35" s="46"/>
    </row>
    <row r="36" spans="2:8" s="47" customFormat="1" ht="15.75" x14ac:dyDescent="0.25">
      <c r="B36" s="222"/>
      <c r="C36" s="223"/>
      <c r="D36" s="46"/>
      <c r="E36" s="46"/>
      <c r="F36" s="46"/>
      <c r="G36" s="46"/>
      <c r="H36" s="46"/>
    </row>
    <row r="37" spans="2:8" s="47" customFormat="1" ht="15.75" customHeight="1" x14ac:dyDescent="0.25">
      <c r="B37" s="525" t="s">
        <v>386</v>
      </c>
      <c r="C37" s="525"/>
      <c r="D37" s="46"/>
      <c r="E37" s="46"/>
      <c r="F37" s="46"/>
      <c r="G37" s="46"/>
      <c r="H37" s="46"/>
    </row>
    <row r="38" spans="2:8" ht="12.75" customHeight="1" x14ac:dyDescent="0.2">
      <c r="B38" s="525"/>
      <c r="C38" s="525"/>
      <c r="D38" s="35"/>
      <c r="E38" s="35"/>
      <c r="F38" s="35"/>
      <c r="G38" s="35"/>
      <c r="H38" s="35"/>
    </row>
    <row r="39" spans="2:8" ht="14.25" customHeight="1" x14ac:dyDescent="0.2">
      <c r="B39" s="525"/>
      <c r="C39" s="525"/>
      <c r="D39" s="35"/>
      <c r="E39" s="35"/>
      <c r="F39" s="35"/>
      <c r="G39" s="35"/>
      <c r="H39" s="35"/>
    </row>
    <row r="40" spans="2:8" ht="14.25" customHeight="1" x14ac:dyDescent="0.2">
      <c r="B40" s="224"/>
      <c r="C40" s="224"/>
      <c r="D40" s="35"/>
      <c r="E40" s="35"/>
      <c r="F40" s="35"/>
      <c r="G40" s="35"/>
      <c r="H40" s="35"/>
    </row>
    <row r="41" spans="2:8" s="1" customFormat="1" ht="20.25" x14ac:dyDescent="0.2">
      <c r="B41" s="282" t="s">
        <v>392</v>
      </c>
      <c r="C41" s="285"/>
      <c r="D41" s="54"/>
      <c r="E41" s="54"/>
      <c r="F41" s="54"/>
      <c r="G41" s="54"/>
      <c r="H41" s="54"/>
    </row>
    <row r="42" spans="2:8" s="1" customFormat="1" ht="15.75" x14ac:dyDescent="0.25">
      <c r="B42" s="225"/>
      <c r="C42" s="226"/>
      <c r="D42" s="54"/>
      <c r="E42" s="54"/>
      <c r="F42" s="54"/>
      <c r="G42" s="54"/>
      <c r="H42" s="54"/>
    </row>
    <row r="43" spans="2:8" s="1" customFormat="1" ht="20.25" x14ac:dyDescent="0.2">
      <c r="B43" s="282" t="s">
        <v>393</v>
      </c>
      <c r="C43" s="285"/>
      <c r="D43" s="54"/>
      <c r="E43" s="54"/>
      <c r="F43" s="54"/>
      <c r="G43" s="54"/>
      <c r="H43" s="54"/>
    </row>
    <row r="44" spans="2:8" s="1" customFormat="1" ht="15.75" x14ac:dyDescent="0.25">
      <c r="B44" s="225"/>
      <c r="C44" s="226"/>
      <c r="D44" s="54"/>
      <c r="E44" s="54"/>
      <c r="F44" s="54"/>
      <c r="G44" s="54"/>
      <c r="H44" s="54"/>
    </row>
    <row r="45" spans="2:8" s="1" customFormat="1" ht="15.75" customHeight="1" x14ac:dyDescent="0.2">
      <c r="B45" s="284" t="s">
        <v>384</v>
      </c>
      <c r="C45" s="285"/>
      <c r="D45" s="54"/>
      <c r="E45" s="54"/>
      <c r="F45" s="54"/>
      <c r="G45" s="54"/>
      <c r="H45" s="54"/>
    </row>
    <row r="46" spans="2:8" s="1" customFormat="1" ht="15.75" x14ac:dyDescent="0.25">
      <c r="B46" s="225"/>
      <c r="C46" s="226"/>
      <c r="D46" s="54"/>
      <c r="E46" s="54"/>
      <c r="F46" s="54"/>
      <c r="G46" s="54"/>
      <c r="H46" s="54"/>
    </row>
    <row r="47" spans="2:8" s="1" customFormat="1" ht="20.25" x14ac:dyDescent="0.3">
      <c r="B47" s="283" t="s">
        <v>385</v>
      </c>
      <c r="C47" s="285"/>
      <c r="D47" s="54"/>
      <c r="E47" s="54"/>
      <c r="F47" s="54"/>
      <c r="G47" s="54"/>
      <c r="H47" s="54"/>
    </row>
    <row r="48" spans="2:8" s="1" customFormat="1" ht="15.75" x14ac:dyDescent="0.25">
      <c r="B48" s="213"/>
      <c r="C48" s="213"/>
      <c r="D48" s="54"/>
      <c r="E48" s="54"/>
      <c r="F48" s="54"/>
      <c r="G48" s="54"/>
      <c r="H48" s="54"/>
    </row>
    <row r="49" spans="2:8" s="1" customFormat="1" ht="15.75" x14ac:dyDescent="0.25">
      <c r="B49" s="227"/>
      <c r="C49" s="227"/>
      <c r="D49" s="54"/>
      <c r="E49" s="54"/>
      <c r="F49" s="54"/>
      <c r="G49" s="54"/>
      <c r="H49" s="54"/>
    </row>
    <row r="50" spans="2:8" s="1" customFormat="1" ht="15.75" x14ac:dyDescent="0.25">
      <c r="B50" s="227"/>
      <c r="C50" s="227"/>
      <c r="D50" s="54"/>
      <c r="E50" s="54"/>
      <c r="F50" s="54"/>
      <c r="G50" s="54"/>
      <c r="H50" s="54"/>
    </row>
    <row r="51" spans="2:8" s="1" customFormat="1" ht="15.75" x14ac:dyDescent="0.25">
      <c r="B51" s="227" t="s">
        <v>383</v>
      </c>
      <c r="C51" s="366"/>
      <c r="D51" s="54"/>
      <c r="E51" s="54"/>
      <c r="F51" s="54"/>
      <c r="G51" s="54"/>
      <c r="H51" s="54"/>
    </row>
    <row r="52" spans="2:8" s="1" customFormat="1" ht="15.75" x14ac:dyDescent="0.25">
      <c r="B52" s="229">
        <f ca="1">TODAY()</f>
        <v>44686</v>
      </c>
      <c r="C52" s="228"/>
      <c r="D52" s="54"/>
      <c r="E52" s="54"/>
      <c r="F52" s="54"/>
      <c r="G52" s="54"/>
      <c r="H52" s="54"/>
    </row>
    <row r="53" spans="2:8" x14ac:dyDescent="0.2">
      <c r="C53" s="230"/>
      <c r="D53" s="35"/>
      <c r="E53" s="35"/>
      <c r="F53" s="35"/>
      <c r="G53" s="35"/>
      <c r="H53" s="35"/>
    </row>
    <row r="54" spans="2:8" ht="15.75" customHeight="1" x14ac:dyDescent="0.2">
      <c r="B54" s="526"/>
      <c r="C54" s="527"/>
      <c r="D54" s="35"/>
      <c r="E54" s="35"/>
      <c r="F54" s="35"/>
      <c r="G54" s="35"/>
      <c r="H54" s="35"/>
    </row>
    <row r="55" spans="2:8" ht="15.75" customHeight="1" x14ac:dyDescent="0.2">
      <c r="B55" s="527"/>
      <c r="C55" s="527"/>
      <c r="D55" s="35"/>
      <c r="E55" s="35"/>
      <c r="F55" s="35"/>
      <c r="G55" s="35"/>
      <c r="H55" s="35"/>
    </row>
    <row r="56" spans="2:8" ht="15.75" x14ac:dyDescent="0.25">
      <c r="B56" s="53"/>
      <c r="C56" s="35"/>
      <c r="D56" s="35"/>
      <c r="E56" s="35"/>
      <c r="F56" s="35"/>
      <c r="G56" s="35"/>
      <c r="H56" s="35"/>
    </row>
    <row r="57" spans="2:8" ht="15.75" x14ac:dyDescent="0.25">
      <c r="B57" s="53"/>
      <c r="C57" s="35"/>
      <c r="D57" s="35"/>
      <c r="E57" s="35"/>
      <c r="F57" s="35"/>
      <c r="G57" s="35"/>
      <c r="H57" s="35"/>
    </row>
    <row r="58" spans="2:8" ht="15.75" x14ac:dyDescent="0.25">
      <c r="B58" s="53"/>
      <c r="C58" s="35"/>
      <c r="D58" s="35"/>
      <c r="E58" s="35"/>
      <c r="F58" s="35"/>
      <c r="G58" s="35"/>
      <c r="H58" s="35"/>
    </row>
    <row r="59" spans="2:8" x14ac:dyDescent="0.2">
      <c r="B59" s="35"/>
      <c r="C59" s="35"/>
      <c r="D59" s="35"/>
      <c r="E59" s="35"/>
      <c r="F59" s="35"/>
      <c r="G59" s="35"/>
      <c r="H59" s="35"/>
    </row>
  </sheetData>
  <sheetProtection algorithmName="SHA-512" hashValue="oa+OV/219iydSWS/60smvj6i3lDRK5bMKOIVDTj1S1suAyfBcI0uguD8cP90jLhPbo314m2j5ZPHv5YIzpGGHw==" saltValue="jNHo/1xr9I+VGjMxiSmSHA==" spinCount="100000" sheet="1" selectLockedCells="1"/>
  <mergeCells count="2">
    <mergeCell ref="B37:C39"/>
    <mergeCell ref="B54:C55"/>
  </mergeCells>
  <pageMargins left="0.7" right="0.7" top="0.75" bottom="0.75" header="0.3" footer="0.3"/>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B1:D68"/>
  <sheetViews>
    <sheetView showGridLines="0" showRowColHeaders="0" zoomScale="85" zoomScaleNormal="85" workbookViewId="0">
      <selection activeCell="C62" sqref="C62"/>
    </sheetView>
  </sheetViews>
  <sheetFormatPr defaultRowHeight="12.75" x14ac:dyDescent="0.2"/>
  <cols>
    <col min="1" max="1" width="13.28515625" customWidth="1"/>
    <col min="2" max="2" width="31.140625" style="71" customWidth="1"/>
    <col min="3" max="3" width="61.7109375" style="71" customWidth="1"/>
  </cols>
  <sheetData>
    <row r="1" spans="2:4" ht="15.75" x14ac:dyDescent="0.25">
      <c r="B1" s="222" t="str">
        <f>IF('Cost of Attendance'!C15&lt;&gt;"Forename", 'Cost of Attendance'!C15, " ")&amp;" "&amp;IF('Cost of Attendance'!C14&lt;&gt;"Surname", 'Cost of Attendance'!C14, " ")</f>
        <v xml:space="preserve">   </v>
      </c>
      <c r="C1" s="38"/>
      <c r="D1" s="35"/>
    </row>
    <row r="2" spans="2:4" ht="15.75" x14ac:dyDescent="0.25">
      <c r="B2" s="222" t="str">
        <f>IF('Cost of Attendance'!C16&lt;&gt;"line 1", 'Cost of Attendance'!C16, " ")</f>
        <v xml:space="preserve"> </v>
      </c>
      <c r="C2" s="38"/>
      <c r="D2" s="35"/>
    </row>
    <row r="3" spans="2:4" ht="15.75" x14ac:dyDescent="0.25">
      <c r="B3" s="222" t="str">
        <f>IF('Cost of Attendance'!C17&lt;&gt;"line 2", 'Cost of Attendance'!C17, " ")</f>
        <v xml:space="preserve"> </v>
      </c>
      <c r="C3" s="38"/>
      <c r="D3" s="35"/>
    </row>
    <row r="4" spans="2:4" ht="15.75" x14ac:dyDescent="0.25">
      <c r="B4" s="222" t="str">
        <f>IF('Cost of Attendance'!C18&lt;&gt;"line 3", 'Cost of Attendance'!C18, " ")</f>
        <v xml:space="preserve"> </v>
      </c>
      <c r="C4" s="38"/>
      <c r="D4" s="35"/>
    </row>
    <row r="5" spans="2:4" ht="15.75" x14ac:dyDescent="0.25">
      <c r="B5" s="222" t="str">
        <f>IF('Cost of Attendance'!C19&lt;&gt;"line 4", 'Cost of Attendance'!C19, " ")</f>
        <v xml:space="preserve"> </v>
      </c>
      <c r="C5" s="38"/>
      <c r="D5" s="35"/>
    </row>
    <row r="6" spans="2:4" ht="15.75" x14ac:dyDescent="0.25">
      <c r="B6" s="222" t="str">
        <f>IF('Cost of Attendance'!C20&lt;&gt;"postcode/zipcode", 'Cost of Attendance'!C20, " ")</f>
        <v xml:space="preserve"> </v>
      </c>
      <c r="C6" s="38"/>
      <c r="D6" s="35"/>
    </row>
    <row r="7" spans="2:4" x14ac:dyDescent="0.2">
      <c r="B7" s="75"/>
      <c r="C7" s="38"/>
      <c r="D7" s="35"/>
    </row>
    <row r="8" spans="2:4" x14ac:dyDescent="0.2">
      <c r="B8" s="76"/>
      <c r="C8" s="38"/>
      <c r="D8" s="35"/>
    </row>
    <row r="9" spans="2:4" x14ac:dyDescent="0.2">
      <c r="C9" s="38"/>
      <c r="D9" s="35"/>
    </row>
    <row r="10" spans="2:4" x14ac:dyDescent="0.2">
      <c r="B10" s="38"/>
      <c r="C10" s="38"/>
      <c r="D10" s="35"/>
    </row>
    <row r="11" spans="2:4" ht="22.5" x14ac:dyDescent="0.3">
      <c r="B11" s="37" t="s">
        <v>108</v>
      </c>
      <c r="C11" s="38"/>
      <c r="D11" s="35"/>
    </row>
    <row r="12" spans="2:4" ht="22.5" x14ac:dyDescent="0.3">
      <c r="B12" s="56" t="str">
        <f>'Cost of Attendance'!C4</f>
        <v>for Academic Year 2022/23</v>
      </c>
      <c r="C12" s="38"/>
      <c r="D12" s="35"/>
    </row>
    <row r="13" spans="2:4" x14ac:dyDescent="0.2">
      <c r="B13" s="38"/>
      <c r="C13" s="38"/>
      <c r="D13" s="35"/>
    </row>
    <row r="14" spans="2:4" x14ac:dyDescent="0.2">
      <c r="B14" s="38"/>
      <c r="C14" s="38"/>
      <c r="D14" s="35"/>
    </row>
    <row r="15" spans="2:4" ht="18.75" x14ac:dyDescent="0.3">
      <c r="B15" s="39" t="s">
        <v>109</v>
      </c>
      <c r="C15" s="38"/>
      <c r="D15" s="35"/>
    </row>
    <row r="16" spans="2:4" ht="13.5" thickBot="1" x14ac:dyDescent="0.25">
      <c r="B16" s="38"/>
      <c r="C16" s="38"/>
      <c r="D16" s="35"/>
    </row>
    <row r="17" spans="2:4" s="42" customFormat="1" ht="16.5" thickBot="1" x14ac:dyDescent="0.3">
      <c r="B17" s="199" t="s">
        <v>110</v>
      </c>
      <c r="C17" s="205" t="str">
        <f>'Cost of Attendance'!C15&amp;" "&amp;'Cost of Attendance'!C14</f>
        <v>forename surname</v>
      </c>
      <c r="D17" s="41"/>
    </row>
    <row r="18" spans="2:4" s="42" customFormat="1" ht="15.75" x14ac:dyDescent="0.25">
      <c r="B18" s="179" t="s">
        <v>302</v>
      </c>
      <c r="C18" s="180" t="str">
        <f>'Cost of Attendance'!C22</f>
        <v>dd/mm/yyyy</v>
      </c>
      <c r="D18" s="41"/>
    </row>
    <row r="19" spans="2:4" s="42" customFormat="1" ht="32.25" thickBot="1" x14ac:dyDescent="0.3">
      <c r="B19" s="181" t="s">
        <v>112</v>
      </c>
      <c r="C19" s="286" t="str">
        <f>'Cost of Attendance'!C24</f>
        <v>[Type Applicant/Student Number as appears on your Application]</v>
      </c>
      <c r="D19" s="41"/>
    </row>
    <row r="20" spans="2:4" x14ac:dyDescent="0.2">
      <c r="B20" s="38"/>
      <c r="C20" s="38"/>
      <c r="D20" s="35"/>
    </row>
    <row r="21" spans="2:4" s="1" customFormat="1" ht="15.75" x14ac:dyDescent="0.25">
      <c r="B21" s="53" t="s">
        <v>113</v>
      </c>
      <c r="C21" s="53"/>
      <c r="D21" s="54"/>
    </row>
    <row r="22" spans="2:4" s="1" customFormat="1" ht="15.75" x14ac:dyDescent="0.25">
      <c r="B22" s="53"/>
      <c r="C22" s="53"/>
      <c r="D22" s="54"/>
    </row>
    <row r="23" spans="2:4" s="1" customFormat="1" ht="15" customHeight="1" x14ac:dyDescent="0.25">
      <c r="B23" s="53" t="s">
        <v>363</v>
      </c>
      <c r="C23" s="53"/>
      <c r="D23" s="54"/>
    </row>
    <row r="24" spans="2:4" s="1" customFormat="1" ht="15" customHeight="1" x14ac:dyDescent="0.25">
      <c r="B24" s="53" t="s">
        <v>364</v>
      </c>
      <c r="C24" s="53"/>
      <c r="D24" s="54"/>
    </row>
    <row r="25" spans="2:4" s="1" customFormat="1" ht="15.75" x14ac:dyDescent="0.25">
      <c r="B25" s="53" t="s">
        <v>114</v>
      </c>
      <c r="C25" s="53"/>
      <c r="D25" s="54"/>
    </row>
    <row r="26" spans="2:4" s="1" customFormat="1" ht="15.75" customHeight="1" x14ac:dyDescent="0.25">
      <c r="B26" s="528" t="s">
        <v>371</v>
      </c>
      <c r="C26" s="528"/>
      <c r="D26" s="54"/>
    </row>
    <row r="27" spans="2:4" s="1" customFormat="1" ht="15.75" x14ac:dyDescent="0.25">
      <c r="B27" s="178" t="s">
        <v>372</v>
      </c>
      <c r="C27" s="178"/>
      <c r="D27" s="54"/>
    </row>
    <row r="28" spans="2:4" s="55" customFormat="1" ht="15.75" x14ac:dyDescent="0.25">
      <c r="B28" s="53" t="s">
        <v>115</v>
      </c>
      <c r="C28" s="53"/>
      <c r="D28" s="53"/>
    </row>
    <row r="29" spans="2:4" s="1" customFormat="1" ht="15.75" x14ac:dyDescent="0.25">
      <c r="B29" s="53"/>
      <c r="C29" s="53"/>
      <c r="D29" s="54"/>
    </row>
    <row r="30" spans="2:4" s="1" customFormat="1" ht="16.5" thickBot="1" x14ac:dyDescent="0.3">
      <c r="B30" s="53" t="s">
        <v>116</v>
      </c>
      <c r="C30" s="53"/>
      <c r="D30" s="54"/>
    </row>
    <row r="31" spans="2:4" s="50" customFormat="1" ht="15.75" x14ac:dyDescent="0.25">
      <c r="B31" s="182" t="s">
        <v>117</v>
      </c>
      <c r="C31" s="183">
        <f>IF(('Cost of Attendance'!D27="n"),'Cost of Attendance'!J15,'Cost of Attendance'!J13)</f>
        <v>44805</v>
      </c>
      <c r="D31" s="49"/>
    </row>
    <row r="32" spans="2:4" s="50" customFormat="1" ht="16.5" thickBot="1" x14ac:dyDescent="0.3">
      <c r="B32" s="184" t="s">
        <v>118</v>
      </c>
      <c r="C32" s="185">
        <f>IF(('Cost of Attendance'!D27="n"),'Cost of Attendance'!J16,'Cost of Attendance'!J14)</f>
        <v>45077</v>
      </c>
      <c r="D32" s="49"/>
    </row>
    <row r="33" spans="2:4" ht="15.75" customHeight="1" x14ac:dyDescent="0.2">
      <c r="B33" s="38"/>
      <c r="C33" s="38"/>
      <c r="D33" s="35"/>
    </row>
    <row r="34" spans="2:4" ht="15.75" customHeight="1" x14ac:dyDescent="0.25">
      <c r="B34" s="53" t="s">
        <v>405</v>
      </c>
      <c r="C34" s="38"/>
      <c r="D34" s="35"/>
    </row>
    <row r="35" spans="2:4" s="55" customFormat="1" ht="15.75" customHeight="1" thickBot="1" x14ac:dyDescent="0.3">
      <c r="B35" s="55" t="s">
        <v>272</v>
      </c>
      <c r="C35" s="53"/>
      <c r="D35" s="53"/>
    </row>
    <row r="36" spans="2:4" s="42" customFormat="1" ht="15.75" customHeight="1" thickBot="1" x14ac:dyDescent="0.3">
      <c r="B36" s="199" t="s">
        <v>85</v>
      </c>
      <c r="C36" s="200" t="s">
        <v>119</v>
      </c>
      <c r="D36" s="41"/>
    </row>
    <row r="37" spans="2:4" s="42" customFormat="1" ht="15.75" customHeight="1" x14ac:dyDescent="0.25">
      <c r="B37" s="179" t="s">
        <v>120</v>
      </c>
      <c r="C37" s="186">
        <f>'Cost of Attendance'!D89</f>
        <v>3500</v>
      </c>
      <c r="D37" s="41"/>
    </row>
    <row r="38" spans="2:4" s="42" customFormat="1" ht="15.75" customHeight="1" x14ac:dyDescent="0.25">
      <c r="B38" s="187" t="s">
        <v>121</v>
      </c>
      <c r="C38" s="188">
        <f>'Cost of Attendance'!D90</f>
        <v>2000</v>
      </c>
      <c r="D38" s="41"/>
    </row>
    <row r="39" spans="2:4" s="42" customFormat="1" ht="15.75" customHeight="1" thickBot="1" x14ac:dyDescent="0.3">
      <c r="B39" s="191" t="s">
        <v>122</v>
      </c>
      <c r="C39" s="192">
        <f>'Cost of Attendance'!D91</f>
        <v>18964</v>
      </c>
      <c r="D39" s="41"/>
    </row>
    <row r="40" spans="2:4" s="42" customFormat="1" ht="15.75" customHeight="1" thickBot="1" x14ac:dyDescent="0.3">
      <c r="B40" s="189" t="s">
        <v>83</v>
      </c>
      <c r="C40" s="190">
        <f>'Cost of Attendance'!D92</f>
        <v>24464</v>
      </c>
      <c r="D40" s="41"/>
    </row>
    <row r="41" spans="2:4" ht="15.75" customHeight="1" x14ac:dyDescent="0.2">
      <c r="B41" s="38"/>
      <c r="C41" s="104"/>
      <c r="D41" s="35"/>
    </row>
    <row r="42" spans="2:4" s="1" customFormat="1" ht="15.75" customHeight="1" thickBot="1" x14ac:dyDescent="0.3">
      <c r="B42" s="53" t="s">
        <v>375</v>
      </c>
      <c r="C42" s="105"/>
      <c r="D42" s="54"/>
    </row>
    <row r="43" spans="2:4" s="47" customFormat="1" ht="15.75" customHeight="1" thickBot="1" x14ac:dyDescent="0.3">
      <c r="B43" s="193">
        <f>'Cost of Attendance'!M13</f>
        <v>44849</v>
      </c>
      <c r="C43" s="206">
        <f>C40/2</f>
        <v>12232</v>
      </c>
      <c r="D43" s="46"/>
    </row>
    <row r="44" spans="2:4" s="47" customFormat="1" ht="15.75" customHeight="1" x14ac:dyDescent="0.25">
      <c r="B44" s="195">
        <f>'Cost of Attendance'!M14</f>
        <v>44941</v>
      </c>
      <c r="C44" s="206">
        <f>C40/2</f>
        <v>12232</v>
      </c>
      <c r="D44" s="46"/>
    </row>
    <row r="45" spans="2:4" s="47" customFormat="1" ht="15.75" customHeight="1" x14ac:dyDescent="0.25">
      <c r="B45" s="195"/>
      <c r="C45" s="188"/>
      <c r="D45" s="46"/>
    </row>
    <row r="46" spans="2:4" s="47" customFormat="1" ht="15.75" customHeight="1" x14ac:dyDescent="0.25">
      <c r="B46" s="195" t="str">
        <f>IF(('Cost of Attendance'!M16&gt;'Cost of Attendance'!J15),'Cost of Attendance'!M16,"")</f>
        <v/>
      </c>
      <c r="C46" s="188" t="str">
        <f>'Cost of Attendance'!N16</f>
        <v/>
      </c>
      <c r="D46" s="46"/>
    </row>
    <row r="47" spans="2:4" s="47" customFormat="1" ht="15.75" customHeight="1" thickBot="1" x14ac:dyDescent="0.3">
      <c r="B47" s="196" t="s">
        <v>336</v>
      </c>
      <c r="C47" s="192">
        <f>C40-(SUM(C43:C46))</f>
        <v>0</v>
      </c>
      <c r="D47" s="46"/>
    </row>
    <row r="48" spans="2:4" s="47" customFormat="1" ht="15.75" customHeight="1" thickBot="1" x14ac:dyDescent="0.3">
      <c r="B48" s="197" t="s">
        <v>83</v>
      </c>
      <c r="C48" s="190">
        <f>SUM(C43:C47)</f>
        <v>24464</v>
      </c>
      <c r="D48" s="46"/>
    </row>
    <row r="49" spans="2:4" x14ac:dyDescent="0.2">
      <c r="B49" s="38"/>
      <c r="C49" s="38"/>
      <c r="D49" s="35"/>
    </row>
    <row r="50" spans="2:4" s="1" customFormat="1" ht="15.75" x14ac:dyDescent="0.25">
      <c r="B50" s="53" t="s">
        <v>124</v>
      </c>
      <c r="C50" s="176"/>
      <c r="D50" s="54"/>
    </row>
    <row r="51" spans="2:4" s="1" customFormat="1" ht="15.75" x14ac:dyDescent="0.25">
      <c r="B51" s="53" t="s">
        <v>365</v>
      </c>
      <c r="C51" s="198"/>
      <c r="D51" s="54"/>
    </row>
    <row r="52" spans="2:4" s="1" customFormat="1" ht="15.75" x14ac:dyDescent="0.25">
      <c r="B52" s="53" t="s">
        <v>366</v>
      </c>
      <c r="C52" s="53"/>
      <c r="D52" s="54"/>
    </row>
    <row r="53" spans="2:4" s="1" customFormat="1" ht="15.75" x14ac:dyDescent="0.25">
      <c r="B53" s="55" t="s">
        <v>367</v>
      </c>
      <c r="C53" s="53"/>
      <c r="D53" s="54"/>
    </row>
    <row r="54" spans="2:4" s="1" customFormat="1" ht="15.75" x14ac:dyDescent="0.25">
      <c r="B54" s="53" t="str">
        <f>(IF(('School DATA (Locked)'!D26&gt;0),'School DATA (Locked)'!D26,""))&amp;"    "&amp;(IF(('School DATA (Locked)'!D30&gt;0),'School DATA (Locked)'!D30,""))</f>
        <v xml:space="preserve">AJ    </v>
      </c>
      <c r="C54" s="53"/>
      <c r="D54" s="54"/>
    </row>
    <row r="55" spans="2:4" s="1" customFormat="1" ht="15.75" x14ac:dyDescent="0.25">
      <c r="B55" s="53" t="str">
        <f>(IF(('School DATA (Locked)'!D27&gt;0),'School DATA (Locked)'!D27,""))&amp;"    "&amp;(IF(('School DATA (Locked)'!D31&gt;0),'School DATA (Locked)'!D31,""))</f>
        <v xml:space="preserve">AC     </v>
      </c>
      <c r="C55" s="53"/>
      <c r="D55" s="54"/>
    </row>
    <row r="56" spans="2:4" s="1" customFormat="1" ht="15.75" x14ac:dyDescent="0.25">
      <c r="B56" s="53" t="str">
        <f>(IF(('School DATA (Locked)'!D28&gt;0),'School DATA (Locked)'!D28,""))&amp;"    "&amp;(IF(('School DATA (Locked)'!D32&gt;0),'School DATA (Locked)'!D32,""))</f>
        <v xml:space="preserve">PH    </v>
      </c>
      <c r="C56" s="53"/>
      <c r="D56" s="54"/>
    </row>
    <row r="57" spans="2:4" s="1" customFormat="1" ht="15.75" x14ac:dyDescent="0.25">
      <c r="B57" s="53" t="str">
        <f>(IF(('School DATA (Locked)'!D29&gt;0),'School DATA (Locked)'!D29,""))&amp;"    "&amp;(IF(('School DATA (Locked)'!D33&gt;0),'School DATA (Locked)'!D33,""))</f>
        <v xml:space="preserve">    </v>
      </c>
      <c r="C57" s="53"/>
      <c r="D57" s="54"/>
    </row>
    <row r="58" spans="2:4" s="1" customFormat="1" ht="15.75" x14ac:dyDescent="0.25">
      <c r="B58" s="55"/>
      <c r="D58" s="54"/>
    </row>
    <row r="59" spans="2:4" s="1" customFormat="1" ht="15.75" x14ac:dyDescent="0.25">
      <c r="B59" s="53" t="s">
        <v>368</v>
      </c>
      <c r="C59" s="365"/>
      <c r="D59" s="54"/>
    </row>
    <row r="60" spans="2:4" s="1" customFormat="1" ht="15.75" x14ac:dyDescent="0.25">
      <c r="B60" s="53" t="s">
        <v>369</v>
      </c>
      <c r="C60" s="177"/>
      <c r="D60" s="54"/>
    </row>
    <row r="61" spans="2:4" s="1" customFormat="1" ht="15.75" x14ac:dyDescent="0.25">
      <c r="B61" s="53" t="s">
        <v>370</v>
      </c>
      <c r="D61" s="54"/>
    </row>
    <row r="62" spans="2:4" ht="15.75" x14ac:dyDescent="0.25">
      <c r="B62" s="50" t="s">
        <v>138</v>
      </c>
      <c r="C62" s="303">
        <f ca="1">TODAY()</f>
        <v>44686</v>
      </c>
      <c r="D62" s="35"/>
    </row>
    <row r="63" spans="2:4" ht="15.75" x14ac:dyDescent="0.25">
      <c r="B63" s="53"/>
      <c r="C63" s="38"/>
      <c r="D63" s="35"/>
    </row>
    <row r="64" spans="2:4" x14ac:dyDescent="0.2">
      <c r="B64" s="38"/>
      <c r="C64" s="38"/>
      <c r="D64" s="35"/>
    </row>
    <row r="65" spans="2:4" x14ac:dyDescent="0.2">
      <c r="B65" s="38"/>
      <c r="C65" s="38"/>
      <c r="D65" s="35"/>
    </row>
    <row r="66" spans="2:4" x14ac:dyDescent="0.2">
      <c r="D66" s="35"/>
    </row>
    <row r="67" spans="2:4" x14ac:dyDescent="0.2">
      <c r="D67" s="35"/>
    </row>
    <row r="68" spans="2:4" x14ac:dyDescent="0.2">
      <c r="D68" s="35"/>
    </row>
  </sheetData>
  <sheetProtection algorithmName="SHA-512" hashValue="wehPjflswYG3oGvuM/1Wd87VNSOIclj7gMoeNs/IC7OcFF6+GH6/wgjvf1Y9RoGmj9LTyfs3s/xMAeW+yUJizA==" saltValue="8biN8OIKcR2RkmA6TLWqIg==" spinCount="100000" sheet="1" selectLockedCells="1"/>
  <mergeCells count="1">
    <mergeCell ref="B26:C26"/>
  </mergeCells>
  <pageMargins left="0.7" right="0.7" top="0.75" bottom="0.75" header="0.3" footer="0.3"/>
  <pageSetup paperSize="9"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B1:D68"/>
  <sheetViews>
    <sheetView showGridLines="0" showRowColHeaders="0" topLeftCell="A37" zoomScale="85" zoomScaleNormal="85" workbookViewId="0">
      <selection activeCell="C62" sqref="C62"/>
    </sheetView>
  </sheetViews>
  <sheetFormatPr defaultRowHeight="12.75" x14ac:dyDescent="0.2"/>
  <cols>
    <col min="1" max="1" width="13.5703125" customWidth="1"/>
    <col min="2" max="2" width="29.28515625" style="71" customWidth="1"/>
    <col min="3" max="3" width="61.7109375" style="71" customWidth="1"/>
  </cols>
  <sheetData>
    <row r="1" spans="2:4" ht="15.75" x14ac:dyDescent="0.25">
      <c r="B1" s="222" t="str">
        <f>IF('Cost of Attendance'!C15&lt;&gt;"Forename", 'Cost of Attendance'!C15, " ")&amp;" "&amp;IF('Cost of Attendance'!C14&lt;&gt;"Surname", 'Cost of Attendance'!C14, " ")</f>
        <v xml:space="preserve">   </v>
      </c>
      <c r="C1" s="38"/>
      <c r="D1" s="35"/>
    </row>
    <row r="2" spans="2:4" ht="15.75" x14ac:dyDescent="0.25">
      <c r="B2" s="222" t="str">
        <f>IF('Cost of Attendance'!C16&lt;&gt;"line 1", 'Cost of Attendance'!C16, " ")</f>
        <v xml:space="preserve"> </v>
      </c>
      <c r="C2" s="38"/>
      <c r="D2" s="35"/>
    </row>
    <row r="3" spans="2:4" ht="15.75" x14ac:dyDescent="0.25">
      <c r="B3" s="222" t="str">
        <f>IF('Cost of Attendance'!C17&lt;&gt;"line 2", 'Cost of Attendance'!C17, " ")</f>
        <v xml:space="preserve"> </v>
      </c>
      <c r="C3" s="38"/>
      <c r="D3" s="35"/>
    </row>
    <row r="4" spans="2:4" ht="15.75" x14ac:dyDescent="0.25">
      <c r="B4" s="222" t="str">
        <f>IF('Cost of Attendance'!C18&lt;&gt;"line 3", 'Cost of Attendance'!C18, " ")</f>
        <v xml:space="preserve"> </v>
      </c>
      <c r="C4" s="38"/>
      <c r="D4" s="35"/>
    </row>
    <row r="5" spans="2:4" ht="15.75" x14ac:dyDescent="0.25">
      <c r="B5" s="222" t="str">
        <f>IF('Cost of Attendance'!C19&lt;&gt;"line 4", 'Cost of Attendance'!C19, " ")</f>
        <v xml:space="preserve"> </v>
      </c>
      <c r="C5" s="38"/>
      <c r="D5" s="35"/>
    </row>
    <row r="6" spans="2:4" ht="15.75" x14ac:dyDescent="0.25">
      <c r="B6" s="222" t="str">
        <f>IF('Cost of Attendance'!C20&lt;&gt;"postcode/zipcode", 'Cost of Attendance'!C20, " ")</f>
        <v xml:space="preserve"> </v>
      </c>
      <c r="C6" s="38"/>
      <c r="D6" s="35"/>
    </row>
    <row r="7" spans="2:4" x14ac:dyDescent="0.2">
      <c r="B7" s="75"/>
      <c r="C7" s="38"/>
      <c r="D7" s="35"/>
    </row>
    <row r="8" spans="2:4" x14ac:dyDescent="0.2">
      <c r="B8" s="76"/>
      <c r="C8" s="38"/>
      <c r="D8" s="35"/>
    </row>
    <row r="9" spans="2:4" x14ac:dyDescent="0.2">
      <c r="C9" s="38"/>
      <c r="D9" s="35"/>
    </row>
    <row r="10" spans="2:4" x14ac:dyDescent="0.2">
      <c r="B10" s="38"/>
      <c r="C10" s="38"/>
      <c r="D10" s="35"/>
    </row>
    <row r="11" spans="2:4" ht="22.5" x14ac:dyDescent="0.3">
      <c r="B11" s="37" t="s">
        <v>108</v>
      </c>
      <c r="C11" s="38"/>
      <c r="D11" s="35"/>
    </row>
    <row r="12" spans="2:4" ht="22.5" x14ac:dyDescent="0.3">
      <c r="B12" s="56" t="str">
        <f>'Cost of Attendance'!C4</f>
        <v>for Academic Year 2022/23</v>
      </c>
      <c r="C12" s="38"/>
      <c r="D12" s="35"/>
    </row>
    <row r="13" spans="2:4" x14ac:dyDescent="0.2">
      <c r="B13" s="38"/>
      <c r="C13" s="38"/>
      <c r="D13" s="35"/>
    </row>
    <row r="14" spans="2:4" x14ac:dyDescent="0.2">
      <c r="B14" s="38"/>
      <c r="C14" s="38"/>
      <c r="D14" s="35"/>
    </row>
    <row r="15" spans="2:4" ht="18.75" x14ac:dyDescent="0.3">
      <c r="B15" s="39" t="s">
        <v>109</v>
      </c>
      <c r="C15" s="38"/>
      <c r="D15" s="35"/>
    </row>
    <row r="16" spans="2:4" ht="13.5" thickBot="1" x14ac:dyDescent="0.25">
      <c r="B16" s="38"/>
      <c r="C16" s="38"/>
      <c r="D16" s="35"/>
    </row>
    <row r="17" spans="2:4" s="42" customFormat="1" ht="16.5" thickBot="1" x14ac:dyDescent="0.3">
      <c r="B17" s="199" t="s">
        <v>110</v>
      </c>
      <c r="C17" s="205" t="str">
        <f>'Cost of Attendance'!C15&amp;" "&amp;'Cost of Attendance'!C14</f>
        <v>forename surname</v>
      </c>
      <c r="D17" s="41"/>
    </row>
    <row r="18" spans="2:4" s="42" customFormat="1" ht="15.75" x14ac:dyDescent="0.25">
      <c r="B18" s="179" t="s">
        <v>302</v>
      </c>
      <c r="C18" s="180" t="str">
        <f>'Cost of Attendance'!C22</f>
        <v>dd/mm/yyyy</v>
      </c>
      <c r="D18" s="41"/>
    </row>
    <row r="19" spans="2:4" s="42" customFormat="1" ht="32.25" thickBot="1" x14ac:dyDescent="0.3">
      <c r="B19" s="181" t="s">
        <v>112</v>
      </c>
      <c r="C19" s="286" t="str">
        <f>'Cost of Attendance'!C24</f>
        <v>[Type Applicant/Student Number as appears on your Application]</v>
      </c>
      <c r="D19" s="41"/>
    </row>
    <row r="20" spans="2:4" x14ac:dyDescent="0.2">
      <c r="B20" s="38"/>
      <c r="C20" s="38"/>
      <c r="D20" s="35"/>
    </row>
    <row r="21" spans="2:4" s="1" customFormat="1" ht="15.75" x14ac:dyDescent="0.25">
      <c r="B21" s="53" t="s">
        <v>113</v>
      </c>
      <c r="C21" s="53"/>
      <c r="D21" s="54"/>
    </row>
    <row r="22" spans="2:4" s="1" customFormat="1" ht="15.75" x14ac:dyDescent="0.25">
      <c r="B22" s="53"/>
      <c r="C22" s="53"/>
      <c r="D22" s="54"/>
    </row>
    <row r="23" spans="2:4" s="1" customFormat="1" ht="15" customHeight="1" x14ac:dyDescent="0.25">
      <c r="B23" s="53" t="s">
        <v>363</v>
      </c>
      <c r="C23" s="53"/>
      <c r="D23" s="54"/>
    </row>
    <row r="24" spans="2:4" s="1" customFormat="1" ht="15" customHeight="1" x14ac:dyDescent="0.25">
      <c r="B24" s="53" t="s">
        <v>364</v>
      </c>
      <c r="C24" s="53"/>
      <c r="D24" s="54"/>
    </row>
    <row r="25" spans="2:4" s="1" customFormat="1" ht="15.75" x14ac:dyDescent="0.25">
      <c r="B25" s="53" t="s">
        <v>114</v>
      </c>
      <c r="C25" s="53"/>
      <c r="D25" s="54"/>
    </row>
    <row r="26" spans="2:4" s="1" customFormat="1" ht="15.75" x14ac:dyDescent="0.25">
      <c r="B26" s="528" t="s">
        <v>371</v>
      </c>
      <c r="C26" s="528"/>
      <c r="D26" s="54"/>
    </row>
    <row r="27" spans="2:4" s="1" customFormat="1" ht="15.75" x14ac:dyDescent="0.25">
      <c r="B27" s="178" t="s">
        <v>372</v>
      </c>
      <c r="C27" s="178"/>
      <c r="D27" s="54"/>
    </row>
    <row r="28" spans="2:4" s="55" customFormat="1" ht="15.75" x14ac:dyDescent="0.25">
      <c r="B28" s="53" t="s">
        <v>115</v>
      </c>
      <c r="C28" s="53"/>
      <c r="D28" s="53"/>
    </row>
    <row r="29" spans="2:4" s="1" customFormat="1" ht="15.75" x14ac:dyDescent="0.25">
      <c r="B29" s="53"/>
      <c r="C29" s="53"/>
      <c r="D29" s="54"/>
    </row>
    <row r="30" spans="2:4" s="1" customFormat="1" ht="16.5" thickBot="1" x14ac:dyDescent="0.3">
      <c r="B30" s="53" t="s">
        <v>116</v>
      </c>
      <c r="C30" s="53"/>
      <c r="D30" s="54"/>
    </row>
    <row r="31" spans="2:4" s="50" customFormat="1" ht="15.75" x14ac:dyDescent="0.25">
      <c r="B31" s="182" t="s">
        <v>117</v>
      </c>
      <c r="C31" s="183">
        <f>IF(('Cost of Attendance'!D27="n"),'Cost of Attendance'!J15,'Cost of Attendance'!J13)</f>
        <v>44805</v>
      </c>
      <c r="D31" s="49"/>
    </row>
    <row r="32" spans="2:4" s="50" customFormat="1" ht="16.5" thickBot="1" x14ac:dyDescent="0.3">
      <c r="B32" s="184" t="s">
        <v>118</v>
      </c>
      <c r="C32" s="185">
        <f>IF(('Cost of Attendance'!D27="n"),'Cost of Attendance'!J16,'Cost of Attendance'!J14)</f>
        <v>45077</v>
      </c>
      <c r="D32" s="49"/>
    </row>
    <row r="33" spans="2:4" ht="15.75" customHeight="1" x14ac:dyDescent="0.2">
      <c r="B33" s="38"/>
      <c r="C33" s="38"/>
      <c r="D33" s="35"/>
    </row>
    <row r="34" spans="2:4" ht="15.75" customHeight="1" x14ac:dyDescent="0.25">
      <c r="B34" s="53" t="s">
        <v>405</v>
      </c>
      <c r="C34" s="38"/>
      <c r="D34" s="35"/>
    </row>
    <row r="35" spans="2:4" s="55" customFormat="1" ht="15.75" customHeight="1" thickBot="1" x14ac:dyDescent="0.3">
      <c r="B35" s="55" t="s">
        <v>272</v>
      </c>
      <c r="C35" s="53"/>
      <c r="D35" s="53"/>
    </row>
    <row r="36" spans="2:4" s="42" customFormat="1" ht="15.75" customHeight="1" thickBot="1" x14ac:dyDescent="0.3">
      <c r="B36" s="199" t="s">
        <v>85</v>
      </c>
      <c r="C36" s="200" t="s">
        <v>119</v>
      </c>
      <c r="D36" s="41"/>
    </row>
    <row r="37" spans="2:4" s="42" customFormat="1" ht="15.75" customHeight="1" x14ac:dyDescent="0.25">
      <c r="B37" s="179" t="s">
        <v>120</v>
      </c>
      <c r="C37" s="186">
        <f>'Cost of Attendance'!D89</f>
        <v>3500</v>
      </c>
      <c r="D37" s="41"/>
    </row>
    <row r="38" spans="2:4" s="42" customFormat="1" ht="15.75" customHeight="1" x14ac:dyDescent="0.25">
      <c r="B38" s="187" t="s">
        <v>121</v>
      </c>
      <c r="C38" s="188">
        <f>'Cost of Attendance'!D90</f>
        <v>2000</v>
      </c>
      <c r="D38" s="41"/>
    </row>
    <row r="39" spans="2:4" s="42" customFormat="1" ht="15.75" customHeight="1" thickBot="1" x14ac:dyDescent="0.3">
      <c r="B39" s="191" t="s">
        <v>122</v>
      </c>
      <c r="C39" s="192">
        <f>'Cost of Attendance'!D91</f>
        <v>18964</v>
      </c>
      <c r="D39" s="41"/>
    </row>
    <row r="40" spans="2:4" s="42" customFormat="1" ht="15.75" customHeight="1" thickBot="1" x14ac:dyDescent="0.3">
      <c r="B40" s="189" t="s">
        <v>83</v>
      </c>
      <c r="C40" s="190">
        <f>'Cost of Attendance'!D92</f>
        <v>24464</v>
      </c>
      <c r="D40" s="41"/>
    </row>
    <row r="41" spans="2:4" ht="15.75" customHeight="1" x14ac:dyDescent="0.2">
      <c r="B41" s="38"/>
      <c r="C41" s="104"/>
      <c r="D41" s="35"/>
    </row>
    <row r="42" spans="2:4" s="1" customFormat="1" ht="15.75" customHeight="1" thickBot="1" x14ac:dyDescent="0.3">
      <c r="B42" s="53" t="s">
        <v>374</v>
      </c>
      <c r="C42" s="105"/>
      <c r="D42" s="54"/>
    </row>
    <row r="43" spans="2:4" s="47" customFormat="1" ht="15.75" customHeight="1" x14ac:dyDescent="0.25">
      <c r="B43" s="193">
        <f>'Cost of Attendance'!M13</f>
        <v>44849</v>
      </c>
      <c r="C43" s="194">
        <f>'Cost of Attendance'!N13</f>
        <v>12232</v>
      </c>
      <c r="D43" s="46"/>
    </row>
    <row r="44" spans="2:4" s="47" customFormat="1" ht="15.75" customHeight="1" x14ac:dyDescent="0.25">
      <c r="B44" s="195">
        <f>'Cost of Attendance'!M14</f>
        <v>44941</v>
      </c>
      <c r="C44" s="188">
        <f>'Cost of Attendance'!N14</f>
        <v>12232</v>
      </c>
      <c r="D44" s="46"/>
    </row>
    <row r="45" spans="2:4" s="47" customFormat="1" ht="15.75" customHeight="1" x14ac:dyDescent="0.25">
      <c r="B45" s="195" t="str">
        <f>'Cost of Attendance'!M15</f>
        <v/>
      </c>
      <c r="C45" s="188" t="e">
        <f>'Cost of Attendance'!N15</f>
        <v>#VALUE!</v>
      </c>
      <c r="D45" s="46"/>
    </row>
    <row r="46" spans="2:4" s="47" customFormat="1" ht="15.75" customHeight="1" x14ac:dyDescent="0.25">
      <c r="B46" s="195" t="str">
        <f>IF(('Cost of Attendance'!M16&gt;'Cost of Attendance'!J15),'Cost of Attendance'!M16,"")</f>
        <v/>
      </c>
      <c r="C46" s="188" t="str">
        <f>'Cost of Attendance'!N16</f>
        <v/>
      </c>
      <c r="D46" s="46"/>
    </row>
    <row r="47" spans="2:4" s="47" customFormat="1" ht="15.75" customHeight="1" thickBot="1" x14ac:dyDescent="0.3">
      <c r="B47" s="196" t="s">
        <v>336</v>
      </c>
      <c r="C47" s="192" t="e">
        <f>C40-(SUM(C43:C46))</f>
        <v>#VALUE!</v>
      </c>
      <c r="D47" s="46"/>
    </row>
    <row r="48" spans="2:4" s="47" customFormat="1" ht="15.75" customHeight="1" thickBot="1" x14ac:dyDescent="0.3">
      <c r="B48" s="197" t="s">
        <v>83</v>
      </c>
      <c r="C48" s="190" t="e">
        <f>SUM(C43:C47)</f>
        <v>#VALUE!</v>
      </c>
      <c r="D48" s="46"/>
    </row>
    <row r="49" spans="2:4" x14ac:dyDescent="0.2">
      <c r="B49" s="38"/>
      <c r="C49" s="38"/>
      <c r="D49" s="35"/>
    </row>
    <row r="50" spans="2:4" s="1" customFormat="1" ht="15.75" x14ac:dyDescent="0.25">
      <c r="B50" s="53" t="s">
        <v>124</v>
      </c>
      <c r="C50" s="176"/>
      <c r="D50" s="54"/>
    </row>
    <row r="51" spans="2:4" s="1" customFormat="1" ht="15.75" x14ac:dyDescent="0.25">
      <c r="B51" s="53" t="s">
        <v>365</v>
      </c>
      <c r="C51" s="198"/>
      <c r="D51" s="54"/>
    </row>
    <row r="52" spans="2:4" s="1" customFormat="1" ht="15.75" x14ac:dyDescent="0.25">
      <c r="B52" s="53" t="s">
        <v>366</v>
      </c>
      <c r="C52" s="53"/>
      <c r="D52" s="54"/>
    </row>
    <row r="53" spans="2:4" s="1" customFormat="1" ht="15.75" x14ac:dyDescent="0.25">
      <c r="B53" s="55" t="s">
        <v>367</v>
      </c>
      <c r="C53" s="53"/>
      <c r="D53" s="54"/>
    </row>
    <row r="54" spans="2:4" s="1" customFormat="1" ht="15.75" x14ac:dyDescent="0.25">
      <c r="B54" s="53" t="str">
        <f>(IF(('School DATA (Locked)'!D26&gt;0),'School DATA (Locked)'!D26,""))&amp;"    "&amp;(IF(('School DATA (Locked)'!D30&gt;0),'School DATA (Locked)'!D30,""))</f>
        <v xml:space="preserve">AJ    </v>
      </c>
      <c r="C54" s="53"/>
      <c r="D54" s="54"/>
    </row>
    <row r="55" spans="2:4" s="1" customFormat="1" ht="15.75" x14ac:dyDescent="0.25">
      <c r="B55" s="53" t="str">
        <f>(IF(('School DATA (Locked)'!D27&gt;0),'School DATA (Locked)'!D27,""))&amp;"    "&amp;(IF(('School DATA (Locked)'!D31&gt;0),'School DATA (Locked)'!D31,""))</f>
        <v xml:space="preserve">AC     </v>
      </c>
      <c r="C55" s="53"/>
      <c r="D55" s="54"/>
    </row>
    <row r="56" spans="2:4" s="1" customFormat="1" ht="15.75" x14ac:dyDescent="0.25">
      <c r="B56" s="53" t="str">
        <f>(IF(('School DATA (Locked)'!D28&gt;0),'School DATA (Locked)'!D28,""))&amp;"    "&amp;(IF(('School DATA (Locked)'!D32&gt;0),'School DATA (Locked)'!D32,""))</f>
        <v xml:space="preserve">PH    </v>
      </c>
      <c r="C56" s="53"/>
      <c r="D56" s="54"/>
    </row>
    <row r="57" spans="2:4" s="1" customFormat="1" ht="15.75" x14ac:dyDescent="0.25">
      <c r="B57" s="53" t="str">
        <f>(IF(('School DATA (Locked)'!D29&gt;0),'School DATA (Locked)'!D29,""))&amp;"    "&amp;(IF(('School DATA (Locked)'!D33&gt;0),'School DATA (Locked)'!D33,""))</f>
        <v xml:space="preserve">    </v>
      </c>
      <c r="C57" s="53"/>
      <c r="D57" s="54"/>
    </row>
    <row r="58" spans="2:4" s="1" customFormat="1" ht="15.75" x14ac:dyDescent="0.25">
      <c r="B58" s="55"/>
      <c r="D58" s="54"/>
    </row>
    <row r="59" spans="2:4" s="1" customFormat="1" ht="15.75" x14ac:dyDescent="0.25">
      <c r="B59" s="53" t="s">
        <v>368</v>
      </c>
      <c r="C59" s="365"/>
      <c r="D59" s="54"/>
    </row>
    <row r="60" spans="2:4" s="1" customFormat="1" ht="15.75" x14ac:dyDescent="0.25">
      <c r="B60" s="53" t="s">
        <v>369</v>
      </c>
      <c r="C60" s="177"/>
      <c r="D60" s="54"/>
    </row>
    <row r="61" spans="2:4" s="1" customFormat="1" ht="15.75" x14ac:dyDescent="0.25">
      <c r="B61" s="53" t="s">
        <v>370</v>
      </c>
      <c r="D61" s="54"/>
    </row>
    <row r="62" spans="2:4" ht="15.75" x14ac:dyDescent="0.25">
      <c r="B62" s="50" t="s">
        <v>138</v>
      </c>
      <c r="C62" s="303">
        <f ca="1">TODAY()</f>
        <v>44686</v>
      </c>
      <c r="D62" s="35"/>
    </row>
    <row r="63" spans="2:4" ht="15.75" x14ac:dyDescent="0.25">
      <c r="B63" s="53"/>
      <c r="C63" s="38"/>
      <c r="D63" s="35"/>
    </row>
    <row r="64" spans="2:4" x14ac:dyDescent="0.2">
      <c r="B64" s="38"/>
      <c r="C64" s="38"/>
      <c r="D64" s="35"/>
    </row>
    <row r="65" spans="2:4" x14ac:dyDescent="0.2">
      <c r="B65" s="38"/>
      <c r="C65" s="38"/>
      <c r="D65" s="35"/>
    </row>
    <row r="66" spans="2:4" x14ac:dyDescent="0.2">
      <c r="D66" s="35"/>
    </row>
    <row r="67" spans="2:4" x14ac:dyDescent="0.2">
      <c r="D67" s="35"/>
    </row>
    <row r="68" spans="2:4" x14ac:dyDescent="0.2">
      <c r="D68" s="35"/>
    </row>
  </sheetData>
  <sheetProtection algorithmName="SHA-512" hashValue="Of9tLSubvJrnhjnIU+M7PPGrTFuS6WgDbT/Y9/DahzIJGXwOMmQwPWRTzWl20Fi8QuZo60WIYlryieBxiSa+zg==" saltValue="XDWo4D8HN2Qf1itc9/b2dg==" spinCount="100000" sheet="1" selectLockedCells="1"/>
  <mergeCells count="1">
    <mergeCell ref="B26:C26"/>
  </mergeCells>
  <phoneticPr fontId="5" type="noConversion"/>
  <pageMargins left="0.7" right="0.7" top="0.75" bottom="0.75" header="0.3" footer="0.3"/>
  <pageSetup paperSize="9"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H58"/>
  <sheetViews>
    <sheetView showGridLines="0" showRowColHeaders="0" topLeftCell="A31" zoomScale="85" zoomScaleNormal="85" workbookViewId="0">
      <selection activeCell="C52" sqref="C52"/>
    </sheetView>
  </sheetViews>
  <sheetFormatPr defaultRowHeight="12.75" x14ac:dyDescent="0.2"/>
  <cols>
    <col min="1" max="1" width="9.28515625" customWidth="1"/>
    <col min="2" max="2" width="38.28515625" customWidth="1"/>
    <col min="3" max="3" width="61.7109375" customWidth="1"/>
  </cols>
  <sheetData>
    <row r="1" spans="2:8" ht="15.75" x14ac:dyDescent="0.25">
      <c r="B1" s="222" t="str">
        <f>IF('Cost of Attendance'!C15&lt;&gt;"Forename", 'Cost of Attendance'!C15, " ")&amp;" "&amp;IF('Cost of Attendance'!C14&lt;&gt;"Surname", 'Cost of Attendance'!C14, " ")</f>
        <v xml:space="preserve">   </v>
      </c>
      <c r="C1" s="35"/>
      <c r="D1" s="35"/>
      <c r="E1" s="35"/>
      <c r="F1" s="35"/>
      <c r="G1" s="35"/>
      <c r="H1" s="35"/>
    </row>
    <row r="2" spans="2:8" ht="15.75" x14ac:dyDescent="0.25">
      <c r="B2" s="222" t="str">
        <f>IF('Cost of Attendance'!C16&lt;&gt;"line 1", 'Cost of Attendance'!C16, " ")</f>
        <v xml:space="preserve"> </v>
      </c>
      <c r="C2" s="35"/>
      <c r="D2" s="35"/>
      <c r="E2" s="35"/>
      <c r="F2" s="35"/>
      <c r="G2" s="35"/>
      <c r="H2" s="35"/>
    </row>
    <row r="3" spans="2:8" ht="15.75" x14ac:dyDescent="0.25">
      <c r="B3" s="222" t="str">
        <f>IF('Cost of Attendance'!C17&lt;&gt;"line 2", 'Cost of Attendance'!C17, " ")</f>
        <v xml:space="preserve"> </v>
      </c>
      <c r="C3" s="35"/>
      <c r="D3" s="35"/>
      <c r="E3" s="35"/>
      <c r="F3" s="35"/>
      <c r="G3" s="35"/>
      <c r="H3" s="35"/>
    </row>
    <row r="4" spans="2:8" ht="15.75" x14ac:dyDescent="0.25">
      <c r="B4" s="222" t="str">
        <f>IF('Cost of Attendance'!C18&lt;&gt;"line 3", 'Cost of Attendance'!C18, " ")</f>
        <v xml:space="preserve"> </v>
      </c>
      <c r="C4" s="35"/>
      <c r="D4" s="35"/>
      <c r="E4" s="35"/>
      <c r="F4" s="35"/>
      <c r="G4" s="35"/>
      <c r="H4" s="35"/>
    </row>
    <row r="5" spans="2:8" ht="15.75" x14ac:dyDescent="0.25">
      <c r="B5" s="222" t="str">
        <f>IF('Cost of Attendance'!C19&lt;&gt;"line 4", 'Cost of Attendance'!C19, " ")</f>
        <v xml:space="preserve"> </v>
      </c>
      <c r="C5" s="35"/>
      <c r="D5" s="35"/>
      <c r="E5" s="35"/>
      <c r="F5" s="35"/>
      <c r="G5" s="35"/>
      <c r="H5" s="35"/>
    </row>
    <row r="6" spans="2:8" ht="15.75" x14ac:dyDescent="0.25">
      <c r="B6" s="222" t="str">
        <f>IF('Cost of Attendance'!C20&lt;&gt;"postcode/zipcode", 'Cost of Attendance'!C20, " ")</f>
        <v xml:space="preserve"> </v>
      </c>
      <c r="C6" s="35"/>
      <c r="D6" s="35"/>
      <c r="E6" s="35"/>
      <c r="F6" s="35"/>
      <c r="G6" s="35"/>
      <c r="H6" s="35"/>
    </row>
    <row r="7" spans="2:8" x14ac:dyDescent="0.2">
      <c r="B7" s="52"/>
      <c r="C7" s="35"/>
      <c r="D7" s="35"/>
      <c r="E7" s="35"/>
      <c r="F7" s="35"/>
      <c r="G7" s="35"/>
      <c r="H7" s="35"/>
    </row>
    <row r="8" spans="2:8" x14ac:dyDescent="0.2">
      <c r="B8" s="36"/>
      <c r="C8" s="35"/>
      <c r="D8" s="35"/>
      <c r="E8" s="35"/>
      <c r="F8" s="35"/>
      <c r="G8" s="35"/>
      <c r="H8" s="35"/>
    </row>
    <row r="9" spans="2:8" x14ac:dyDescent="0.2">
      <c r="C9" s="35"/>
      <c r="D9" s="35"/>
      <c r="E9" s="35"/>
      <c r="F9" s="35"/>
      <c r="G9" s="35"/>
      <c r="H9" s="35"/>
    </row>
    <row r="10" spans="2:8" x14ac:dyDescent="0.2">
      <c r="B10" s="38"/>
      <c r="C10" s="35"/>
      <c r="D10" s="35"/>
      <c r="E10" s="35"/>
      <c r="F10" s="35"/>
      <c r="G10" s="35"/>
      <c r="H10" s="35"/>
    </row>
    <row r="11" spans="2:8" ht="22.5" x14ac:dyDescent="0.3">
      <c r="B11" s="37" t="s">
        <v>108</v>
      </c>
      <c r="C11" s="35"/>
      <c r="D11" s="35"/>
      <c r="E11" s="35"/>
      <c r="F11" s="35"/>
      <c r="G11" s="35"/>
      <c r="H11" s="35"/>
    </row>
    <row r="12" spans="2:8" ht="22.5" x14ac:dyDescent="0.3">
      <c r="B12" s="56" t="str">
        <f>'Cost of Attendance'!C4</f>
        <v>for Academic Year 2022/23</v>
      </c>
      <c r="C12" s="35"/>
      <c r="D12" s="35"/>
      <c r="E12" s="35"/>
      <c r="F12" s="35"/>
      <c r="G12" s="35"/>
      <c r="H12" s="35"/>
    </row>
    <row r="13" spans="2:8" x14ac:dyDescent="0.2">
      <c r="B13" s="35"/>
      <c r="C13" s="35"/>
      <c r="D13" s="35"/>
      <c r="E13" s="35"/>
      <c r="F13" s="35"/>
      <c r="G13" s="35"/>
      <c r="H13" s="35"/>
    </row>
    <row r="14" spans="2:8" x14ac:dyDescent="0.2">
      <c r="B14" s="35"/>
      <c r="C14" s="35"/>
      <c r="D14" s="35"/>
      <c r="E14" s="35"/>
      <c r="F14" s="35"/>
      <c r="G14" s="35"/>
      <c r="H14" s="35"/>
    </row>
    <row r="15" spans="2:8" ht="18.75" x14ac:dyDescent="0.3">
      <c r="B15" s="39" t="s">
        <v>109</v>
      </c>
      <c r="C15" s="35"/>
      <c r="D15" s="35"/>
      <c r="E15" s="35"/>
      <c r="F15" s="35"/>
      <c r="G15" s="35"/>
      <c r="H15" s="35"/>
    </row>
    <row r="16" spans="2:8" x14ac:dyDescent="0.2">
      <c r="B16" s="35"/>
      <c r="C16" s="35"/>
      <c r="D16" s="35"/>
      <c r="E16" s="35"/>
      <c r="F16" s="35"/>
      <c r="G16" s="35"/>
      <c r="H16" s="35"/>
    </row>
    <row r="17" spans="2:8" s="42" customFormat="1" ht="15.75" x14ac:dyDescent="0.25">
      <c r="B17" s="201" t="s">
        <v>110</v>
      </c>
      <c r="C17" s="202" t="str">
        <f>'Cost of Attendance'!C15&amp;" "&amp;'Cost of Attendance'!C14</f>
        <v>forename surname</v>
      </c>
      <c r="D17" s="41"/>
      <c r="E17" s="41"/>
      <c r="F17" s="41"/>
      <c r="G17" s="41"/>
      <c r="H17" s="41"/>
    </row>
    <row r="18" spans="2:8" s="42" customFormat="1" ht="15.75" x14ac:dyDescent="0.25">
      <c r="B18" s="40" t="s">
        <v>111</v>
      </c>
      <c r="C18" s="43" t="str">
        <f>'Cost of Attendance'!C22</f>
        <v>dd/mm/yyyy</v>
      </c>
      <c r="D18" s="41"/>
      <c r="E18" s="41"/>
      <c r="F18" s="41"/>
      <c r="G18" s="41"/>
      <c r="H18" s="41"/>
    </row>
    <row r="19" spans="2:8" s="42" customFormat="1" ht="31.5" x14ac:dyDescent="0.25">
      <c r="B19" s="40" t="s">
        <v>112</v>
      </c>
      <c r="C19" s="287" t="str">
        <f>'Cost of Attendance'!C24</f>
        <v>[Type Applicant/Student Number as appears on your Application]</v>
      </c>
      <c r="D19" s="41"/>
      <c r="E19" s="41"/>
      <c r="F19" s="41"/>
      <c r="G19" s="41"/>
      <c r="H19" s="41"/>
    </row>
    <row r="20" spans="2:8" x14ac:dyDescent="0.2">
      <c r="B20" s="35"/>
      <c r="C20" s="35"/>
      <c r="D20" s="35"/>
      <c r="E20" s="35"/>
      <c r="F20" s="35"/>
      <c r="G20" s="35"/>
      <c r="H20" s="35"/>
    </row>
    <row r="21" spans="2:8" s="1" customFormat="1" ht="15.75" x14ac:dyDescent="0.25">
      <c r="B21" s="53" t="s">
        <v>113</v>
      </c>
      <c r="C21" s="54"/>
      <c r="D21" s="54"/>
      <c r="E21" s="54"/>
      <c r="F21" s="54"/>
      <c r="G21" s="54"/>
      <c r="H21" s="54"/>
    </row>
    <row r="22" spans="2:8" s="1" customFormat="1" ht="15.75" x14ac:dyDescent="0.25">
      <c r="B22" s="53"/>
      <c r="C22" s="54"/>
      <c r="D22" s="54"/>
      <c r="E22" s="54"/>
      <c r="F22" s="54"/>
      <c r="G22" s="54"/>
      <c r="H22" s="54"/>
    </row>
    <row r="23" spans="2:8" s="1" customFormat="1" ht="15.75" x14ac:dyDescent="0.25">
      <c r="B23" s="53" t="s">
        <v>194</v>
      </c>
      <c r="C23" s="54"/>
      <c r="D23" s="54"/>
      <c r="E23" s="54"/>
      <c r="F23" s="54"/>
      <c r="G23" s="54"/>
      <c r="H23" s="54"/>
    </row>
    <row r="24" spans="2:8" s="1" customFormat="1" ht="15.75" x14ac:dyDescent="0.25">
      <c r="B24" s="53" t="s">
        <v>300</v>
      </c>
      <c r="C24" s="54"/>
      <c r="D24" s="54"/>
      <c r="E24" s="54"/>
      <c r="F24" s="54"/>
      <c r="G24" s="54"/>
      <c r="H24" s="54"/>
    </row>
    <row r="25" spans="2:8" s="1" customFormat="1" ht="15" x14ac:dyDescent="0.2">
      <c r="B25" s="54"/>
      <c r="C25" s="54"/>
      <c r="D25" s="54"/>
      <c r="E25" s="54"/>
      <c r="F25" s="54"/>
      <c r="G25" s="54"/>
      <c r="H25" s="54"/>
    </row>
    <row r="26" spans="2:8" s="1" customFormat="1" ht="15.75" x14ac:dyDescent="0.25">
      <c r="B26" s="53" t="s">
        <v>406</v>
      </c>
      <c r="C26" s="54"/>
      <c r="D26" s="54"/>
      <c r="E26" s="54"/>
      <c r="F26" s="54"/>
      <c r="G26" s="54"/>
      <c r="H26" s="54"/>
    </row>
    <row r="27" spans="2:8" s="50" customFormat="1" ht="15.75" x14ac:dyDescent="0.25">
      <c r="B27" s="44" t="s">
        <v>117</v>
      </c>
      <c r="C27" s="45">
        <f>IF(('Cost of Attendance'!D27="n"),'Cost of Attendance'!J15,'Cost of Attendance'!J13)</f>
        <v>44805</v>
      </c>
      <c r="D27" s="49"/>
      <c r="E27" s="49"/>
      <c r="F27" s="49"/>
      <c r="G27" s="49"/>
      <c r="H27" s="49"/>
    </row>
    <row r="28" spans="2:8" s="50" customFormat="1" ht="15.75" x14ac:dyDescent="0.25">
      <c r="B28" s="44" t="s">
        <v>118</v>
      </c>
      <c r="C28" s="45">
        <f>IF(('Cost of Attendance'!D27="n"),'Cost of Attendance'!J16,'Cost of Attendance'!J14)</f>
        <v>45077</v>
      </c>
      <c r="D28" s="49"/>
      <c r="E28" s="49"/>
      <c r="F28" s="49"/>
      <c r="G28" s="49"/>
      <c r="H28" s="49"/>
    </row>
    <row r="29" spans="2:8" x14ac:dyDescent="0.2">
      <c r="B29" s="35"/>
      <c r="C29" s="35"/>
      <c r="D29" s="35"/>
      <c r="E29" s="35"/>
      <c r="F29" s="35"/>
      <c r="G29" s="35"/>
      <c r="H29" s="35"/>
    </row>
    <row r="30" spans="2:8" ht="15.75" x14ac:dyDescent="0.25">
      <c r="B30" s="53" t="s">
        <v>407</v>
      </c>
      <c r="C30" s="35"/>
      <c r="D30" s="35"/>
      <c r="E30" s="35"/>
      <c r="F30" s="35"/>
      <c r="G30" s="35"/>
      <c r="H30" s="35"/>
    </row>
    <row r="31" spans="2:8" s="42" customFormat="1" ht="16.5" thickBot="1" x14ac:dyDescent="0.3">
      <c r="B31" s="203" t="s">
        <v>195</v>
      </c>
      <c r="C31" s="204">
        <f>'Cost of Attendance'!H69</f>
        <v>23604</v>
      </c>
      <c r="D31" s="41"/>
      <c r="E31" s="41"/>
      <c r="F31" s="41"/>
      <c r="G31" s="41"/>
      <c r="H31" s="41"/>
    </row>
    <row r="32" spans="2:8" ht="13.5" thickTop="1" x14ac:dyDescent="0.2">
      <c r="B32" s="35"/>
      <c r="C32" s="35"/>
      <c r="D32" s="35"/>
      <c r="E32" s="35"/>
      <c r="F32" s="35"/>
      <c r="G32" s="35"/>
      <c r="H32" s="35"/>
    </row>
    <row r="33" spans="2:8" ht="15.75" x14ac:dyDescent="0.25">
      <c r="B33" s="53" t="s">
        <v>123</v>
      </c>
      <c r="C33" s="35"/>
      <c r="D33" s="35"/>
      <c r="E33" s="35"/>
      <c r="F33" s="35"/>
      <c r="G33" s="35"/>
      <c r="H33" s="35"/>
    </row>
    <row r="34" spans="2:8" s="47" customFormat="1" ht="15.75" x14ac:dyDescent="0.25">
      <c r="B34" s="288">
        <f>'Cost of Attendance'!M13</f>
        <v>44849</v>
      </c>
      <c r="C34" s="48">
        <f>C31/2</f>
        <v>11802</v>
      </c>
      <c r="D34" s="46"/>
      <c r="E34" s="46"/>
      <c r="F34" s="46"/>
      <c r="G34" s="46"/>
      <c r="H34" s="46"/>
    </row>
    <row r="35" spans="2:8" s="47" customFormat="1" ht="15.75" x14ac:dyDescent="0.25">
      <c r="B35" s="288">
        <f>'Cost of Attendance'!M14</f>
        <v>44941</v>
      </c>
      <c r="C35" s="48">
        <f>C31/2</f>
        <v>11802</v>
      </c>
      <c r="D35" s="46"/>
      <c r="E35" s="46"/>
      <c r="F35" s="46"/>
      <c r="G35" s="46"/>
      <c r="H35" s="46"/>
    </row>
    <row r="36" spans="2:8" s="47" customFormat="1" ht="15.75" x14ac:dyDescent="0.25">
      <c r="B36" s="45"/>
      <c r="C36" s="48"/>
      <c r="D36" s="46"/>
      <c r="E36" s="46"/>
      <c r="F36" s="46"/>
      <c r="G36" s="46"/>
      <c r="H36" s="46"/>
    </row>
    <row r="37" spans="2:8" s="47" customFormat="1" ht="16.5" thickBot="1" x14ac:dyDescent="0.3">
      <c r="B37" s="289"/>
      <c r="C37" s="290"/>
      <c r="D37" s="46"/>
      <c r="E37" s="46"/>
      <c r="F37" s="46"/>
      <c r="G37" s="46"/>
      <c r="H37" s="46"/>
    </row>
    <row r="38" spans="2:8" s="47" customFormat="1" ht="16.5" thickBot="1" x14ac:dyDescent="0.3">
      <c r="B38" s="291" t="s">
        <v>83</v>
      </c>
      <c r="C38" s="292">
        <f>SUM(C34:C37)</f>
        <v>23604</v>
      </c>
      <c r="D38" s="46"/>
      <c r="E38" s="46"/>
      <c r="F38" s="46"/>
      <c r="G38" s="46"/>
      <c r="H38" s="46"/>
    </row>
    <row r="39" spans="2:8" x14ac:dyDescent="0.2">
      <c r="B39" s="35"/>
      <c r="C39" s="35"/>
      <c r="D39" s="35"/>
      <c r="E39" s="35"/>
      <c r="F39" s="35"/>
      <c r="G39" s="35"/>
      <c r="H39" s="35"/>
    </row>
    <row r="40" spans="2:8" s="1" customFormat="1" ht="15.75" x14ac:dyDescent="0.25">
      <c r="B40" s="53" t="s">
        <v>124</v>
      </c>
      <c r="C40" s="54"/>
      <c r="D40" s="54"/>
      <c r="E40" s="54"/>
      <c r="F40" s="54"/>
      <c r="G40" s="54"/>
      <c r="H40" s="54"/>
    </row>
    <row r="41" spans="2:8" s="1" customFormat="1" ht="15.75" x14ac:dyDescent="0.25">
      <c r="B41" s="53" t="s">
        <v>365</v>
      </c>
      <c r="C41" s="54"/>
      <c r="D41" s="54"/>
      <c r="E41" s="54"/>
      <c r="F41" s="54"/>
      <c r="G41" s="54"/>
      <c r="H41" s="54"/>
    </row>
    <row r="42" spans="2:8" s="1" customFormat="1" ht="15.75" x14ac:dyDescent="0.25">
      <c r="B42" s="53" t="s">
        <v>366</v>
      </c>
      <c r="C42" s="54"/>
      <c r="D42" s="54"/>
      <c r="E42" s="54"/>
      <c r="F42" s="54"/>
      <c r="G42" s="54"/>
      <c r="H42" s="54"/>
    </row>
    <row r="43" spans="2:8" s="1" customFormat="1" ht="15.75" x14ac:dyDescent="0.25">
      <c r="B43" s="55" t="s">
        <v>367</v>
      </c>
      <c r="C43" s="54"/>
      <c r="D43" s="54"/>
      <c r="E43" s="54"/>
      <c r="F43" s="54"/>
      <c r="G43" s="54"/>
      <c r="H43" s="54"/>
    </row>
    <row r="44" spans="2:8" s="1" customFormat="1" ht="15.75" x14ac:dyDescent="0.25">
      <c r="B44" s="53" t="str">
        <f>(IF(('School DATA (Locked)'!D26&gt;0),'School DATA (Locked)'!D26,""))&amp;"    "&amp;(IF(('School DATA (Locked)'!D30&gt;0),'School DATA (Locked)'!D30,""))</f>
        <v xml:space="preserve">AJ    </v>
      </c>
      <c r="C44" s="53"/>
      <c r="D44" s="54"/>
      <c r="E44" s="54"/>
      <c r="F44" s="54"/>
      <c r="G44" s="54"/>
      <c r="H44" s="54"/>
    </row>
    <row r="45" spans="2:8" s="1" customFormat="1" ht="15.75" x14ac:dyDescent="0.25">
      <c r="B45" s="53" t="str">
        <f>(IF(('School DATA (Locked)'!D27&gt;0),'School DATA (Locked)'!D27,""))&amp;"    "&amp;(IF(('School DATA (Locked)'!D31&gt;0),'School DATA (Locked)'!D31,""))</f>
        <v xml:space="preserve">AC     </v>
      </c>
      <c r="C45" s="53"/>
      <c r="D45" s="54"/>
      <c r="E45" s="54"/>
      <c r="F45" s="54"/>
      <c r="G45" s="54"/>
      <c r="H45" s="54"/>
    </row>
    <row r="46" spans="2:8" s="1" customFormat="1" ht="15.75" x14ac:dyDescent="0.25">
      <c r="B46" s="53" t="str">
        <f>(IF(('School DATA (Locked)'!D28&gt;0),'School DATA (Locked)'!D28,""))&amp;"    "&amp;(IF(('School DATA (Locked)'!D32&gt;0),'School DATA (Locked)'!D32,""))</f>
        <v xml:space="preserve">PH    </v>
      </c>
      <c r="C46" s="53"/>
      <c r="D46" s="54"/>
      <c r="E46" s="54"/>
      <c r="F46" s="54"/>
      <c r="G46" s="54"/>
      <c r="H46" s="54"/>
    </row>
    <row r="47" spans="2:8" s="1" customFormat="1" ht="15.75" x14ac:dyDescent="0.25">
      <c r="B47" s="53" t="str">
        <f>(IF(('School DATA (Locked)'!D29&gt;0),'School DATA (Locked)'!D29,""))&amp;"    "&amp;(IF(('School DATA (Locked)'!D33&gt;0),'School DATA (Locked)'!D33,""))</f>
        <v xml:space="preserve">    </v>
      </c>
      <c r="C47" s="53"/>
      <c r="D47" s="54"/>
      <c r="E47" s="54"/>
      <c r="F47" s="54"/>
      <c r="G47" s="54"/>
      <c r="H47" s="54"/>
    </row>
    <row r="48" spans="2:8" s="1" customFormat="1" ht="15" x14ac:dyDescent="0.2">
      <c r="D48" s="54"/>
      <c r="E48" s="54"/>
      <c r="F48" s="54"/>
      <c r="G48" s="54"/>
      <c r="H48" s="54"/>
    </row>
    <row r="49" spans="2:8" s="1" customFormat="1" ht="15.75" x14ac:dyDescent="0.25">
      <c r="B49" s="53" t="s">
        <v>368</v>
      </c>
      <c r="C49" s="365"/>
      <c r="D49" s="54"/>
      <c r="E49" s="54"/>
      <c r="F49" s="54"/>
      <c r="G49" s="54"/>
      <c r="H49" s="54"/>
    </row>
    <row r="50" spans="2:8" s="1" customFormat="1" ht="15.75" x14ac:dyDescent="0.25">
      <c r="B50" s="53" t="s">
        <v>376</v>
      </c>
      <c r="C50" s="177"/>
      <c r="D50" s="54"/>
      <c r="E50" s="54"/>
      <c r="F50" s="54"/>
      <c r="G50" s="54"/>
      <c r="H50" s="54"/>
    </row>
    <row r="51" spans="2:8" s="1" customFormat="1" ht="15.75" x14ac:dyDescent="0.25">
      <c r="B51" s="53" t="s">
        <v>373</v>
      </c>
      <c r="D51" s="54"/>
      <c r="E51" s="54"/>
      <c r="F51" s="54"/>
      <c r="G51" s="54"/>
      <c r="H51" s="54"/>
    </row>
    <row r="52" spans="2:8" ht="15.75" x14ac:dyDescent="0.25">
      <c r="B52" s="55" t="s">
        <v>138</v>
      </c>
      <c r="C52" s="304">
        <f ca="1">TODAY()</f>
        <v>44686</v>
      </c>
      <c r="D52" s="35"/>
      <c r="E52" s="35"/>
      <c r="F52" s="35"/>
      <c r="G52" s="35"/>
      <c r="H52" s="35"/>
    </row>
    <row r="53" spans="2:8" ht="15.75" x14ac:dyDescent="0.25">
      <c r="B53" s="53"/>
      <c r="C53" s="35"/>
      <c r="D53" s="35"/>
      <c r="E53" s="35"/>
      <c r="F53" s="35"/>
      <c r="G53" s="35"/>
      <c r="H53" s="35"/>
    </row>
    <row r="54" spans="2:8" ht="15.75" x14ac:dyDescent="0.25">
      <c r="B54" s="53"/>
      <c r="C54" s="35"/>
      <c r="D54" s="35"/>
      <c r="E54" s="35"/>
      <c r="F54" s="35"/>
      <c r="G54" s="35"/>
      <c r="H54" s="35"/>
    </row>
    <row r="55" spans="2:8" ht="15.75" x14ac:dyDescent="0.25">
      <c r="B55" s="53"/>
      <c r="C55" s="35"/>
      <c r="D55" s="35"/>
      <c r="E55" s="35"/>
      <c r="F55" s="35"/>
      <c r="G55" s="35"/>
      <c r="H55" s="35"/>
    </row>
    <row r="56" spans="2:8" ht="15.75" x14ac:dyDescent="0.25">
      <c r="B56" s="53"/>
      <c r="C56" s="35"/>
      <c r="D56" s="35"/>
      <c r="E56" s="35"/>
      <c r="F56" s="35"/>
      <c r="G56" s="35"/>
      <c r="H56" s="35"/>
    </row>
    <row r="57" spans="2:8" ht="15.75" x14ac:dyDescent="0.25">
      <c r="B57" s="53"/>
      <c r="C57" s="35"/>
      <c r="D57" s="35"/>
      <c r="E57" s="35"/>
      <c r="F57" s="35"/>
      <c r="G57" s="35"/>
      <c r="H57" s="35"/>
    </row>
    <row r="58" spans="2:8" x14ac:dyDescent="0.2">
      <c r="B58" s="35"/>
      <c r="C58" s="35"/>
      <c r="D58" s="35"/>
      <c r="E58" s="35"/>
      <c r="F58" s="35"/>
      <c r="G58" s="35"/>
      <c r="H58" s="35"/>
    </row>
  </sheetData>
  <sheetProtection algorithmName="SHA-512" hashValue="/8ki87fKWxiPiR5eQF5MLUk48ZDgGRcVO9OlxUPzijhJMeecs4x8a0KUyXfSTZ5OtY+fQtCWGzJxC2faKuoJJA==" saltValue="Jejgc/yQTvf2b7JxyMuNMg==" spinCount="100000" sheet="1" selectLockedCells="1"/>
  <phoneticPr fontId="5" type="noConversion"/>
  <pageMargins left="0.7" right="0.7" top="0.75" bottom="0.75" header="0.3" footer="0.3"/>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2DCF1B6414D44C8483CD86D8C5B03D" ma:contentTypeVersion="13" ma:contentTypeDescription="Create a new document." ma:contentTypeScope="" ma:versionID="43eda34b310788f0952b128d69fb4253">
  <xsd:schema xmlns:xsd="http://www.w3.org/2001/XMLSchema" xmlns:xs="http://www.w3.org/2001/XMLSchema" xmlns:p="http://schemas.microsoft.com/office/2006/metadata/properties" xmlns:ns3="5e38b597-687b-467e-8380-4a3c09561156" xmlns:ns4="86238da1-464b-4f70-bc97-8e20012bf6a1" targetNamespace="http://schemas.microsoft.com/office/2006/metadata/properties" ma:root="true" ma:fieldsID="8372d39ff7fbc879748a1e1e83ad121e" ns3:_="" ns4:_="">
    <xsd:import namespace="5e38b597-687b-467e-8380-4a3c09561156"/>
    <xsd:import namespace="86238da1-464b-4f70-bc97-8e20012bf6a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8b597-687b-467e-8380-4a3c095611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38da1-464b-4f70-bc97-8e20012bf6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EE5E4B-76B7-4215-A30F-A6701C881D76}">
  <ds:schemaRefs>
    <ds:schemaRef ds:uri="http://schemas.microsoft.com/office/2006/documentManagement/types"/>
    <ds:schemaRef ds:uri="5e38b597-687b-467e-8380-4a3c09561156"/>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86238da1-464b-4f70-bc97-8e20012bf6a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F4FA6CE-0E86-46DE-956C-538C1F72C389}">
  <ds:schemaRefs>
    <ds:schemaRef ds:uri="http://schemas.microsoft.com/sharepoint/v3/contenttype/forms"/>
  </ds:schemaRefs>
</ds:datastoreItem>
</file>

<file path=customXml/itemProps3.xml><?xml version="1.0" encoding="utf-8"?>
<ds:datastoreItem xmlns:ds="http://schemas.openxmlformats.org/officeDocument/2006/customXml" ds:itemID="{53BFC3D6-1382-4942-8BF9-D1F801AA7B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38b597-687b-467e-8380-4a3c09561156"/>
    <ds:schemaRef ds:uri="86238da1-464b-4f70-bc97-8e20012bf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Basis of Costs</vt:lpstr>
      <vt:lpstr>Cost of Attendance</vt:lpstr>
      <vt:lpstr>School DATA (Locked)</vt:lpstr>
      <vt:lpstr>Checklist</vt:lpstr>
      <vt:lpstr>Parent Plus Declaration Form</vt:lpstr>
      <vt:lpstr>2Semester_AwardLetter</vt:lpstr>
      <vt:lpstr>3Semester_AwardLetter</vt:lpstr>
      <vt:lpstr>Private AwardLetter</vt:lpstr>
      <vt:lpstr>Sheet1</vt:lpstr>
      <vt:lpstr>'2Semester_AwardLetter'!Print_Area</vt:lpstr>
      <vt:lpstr>'3Semester_AwardLetter'!Print_Area</vt:lpstr>
      <vt:lpstr>'Cost of Attendance'!Print_Area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Patricia Hayden</cp:lastModifiedBy>
  <cp:lastPrinted>2017-12-22T12:20:36Z</cp:lastPrinted>
  <dcterms:created xsi:type="dcterms:W3CDTF">2009-04-02T10:59:38Z</dcterms:created>
  <dcterms:modified xsi:type="dcterms:W3CDTF">2022-05-05T16:05:36Z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0x010100402DCF1B6414D44C8483CD86D8C5B03D</vt:lpwstr>
  </property>
</Properties>
</file>